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21 417р Конкурс ТСЖ + Водсервис + Партнер\Лот 1 ТСЖ Октябрьский округ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6" i="3" l="1"/>
  <c r="E36" i="3"/>
  <c r="F36" i="3"/>
  <c r="G36" i="3"/>
  <c r="H36" i="3"/>
  <c r="D37" i="3"/>
  <c r="E37" i="3"/>
  <c r="F37" i="3"/>
  <c r="G37" i="3"/>
  <c r="H37" i="3"/>
  <c r="L36" i="3"/>
  <c r="M36" i="3"/>
  <c r="N36" i="3"/>
  <c r="O36" i="3"/>
  <c r="P36" i="3"/>
  <c r="Q36" i="3"/>
  <c r="L37" i="3"/>
  <c r="M37" i="3"/>
  <c r="N37" i="3"/>
  <c r="O37" i="3"/>
  <c r="P37" i="3"/>
  <c r="Q37" i="3"/>
  <c r="U36" i="3"/>
  <c r="V36" i="3"/>
  <c r="W36" i="3"/>
  <c r="X36" i="3"/>
  <c r="Y36" i="3"/>
  <c r="Z36" i="3"/>
  <c r="AA36" i="3"/>
  <c r="AB36" i="3"/>
  <c r="U37" i="3"/>
  <c r="V37" i="3"/>
  <c r="W37" i="3"/>
  <c r="X37" i="3"/>
  <c r="Y37" i="3"/>
  <c r="Z37" i="3"/>
  <c r="AA37" i="3"/>
  <c r="AB37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U36" i="3"/>
  <c r="AV36" i="3"/>
  <c r="AX36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BF39" i="3" l="1"/>
  <c r="BF38" i="3"/>
  <c r="BD37" i="3"/>
  <c r="BD10" i="3"/>
  <c r="BD11" i="3"/>
  <c r="BD12" i="3"/>
  <c r="BD13" i="3"/>
  <c r="BD15" i="3"/>
  <c r="BD16" i="3"/>
  <c r="BD17" i="3"/>
  <c r="BD18" i="3"/>
  <c r="BD19" i="3"/>
  <c r="BD20" i="3"/>
  <c r="BD21" i="3"/>
  <c r="BD22" i="3"/>
  <c r="BD24" i="3"/>
  <c r="BD25" i="3"/>
  <c r="BD26" i="3"/>
  <c r="BD27" i="3"/>
  <c r="BD29" i="3"/>
  <c r="BD30" i="3"/>
  <c r="BD31" i="3"/>
  <c r="BD32" i="3"/>
  <c r="BD33" i="3"/>
  <c r="BD36" i="3"/>
  <c r="BC37" i="3"/>
  <c r="BC35" i="3"/>
  <c r="BD14" i="3" l="1"/>
  <c r="BD23" i="3"/>
  <c r="BD28" i="3"/>
  <c r="BD9" i="3"/>
  <c r="BB22" i="3"/>
  <c r="BB36" i="3"/>
  <c r="BB33" i="3"/>
  <c r="BB32" i="3"/>
  <c r="BB31" i="3"/>
  <c r="BB30" i="3"/>
  <c r="BB29" i="3"/>
  <c r="BB27" i="3"/>
  <c r="BB26" i="3"/>
  <c r="BB25" i="3"/>
  <c r="BB24" i="3"/>
  <c r="BB11" i="3"/>
  <c r="BB10" i="3"/>
  <c r="BB21" i="3"/>
  <c r="BB19" i="3"/>
  <c r="BB18" i="3"/>
  <c r="BB17" i="3"/>
  <c r="BB16" i="3"/>
  <c r="BB15" i="3"/>
  <c r="BB12" i="3"/>
  <c r="BD38" i="3" l="1"/>
  <c r="BD40" i="3" s="1"/>
  <c r="BB37" i="3"/>
  <c r="X11" i="3" l="1"/>
  <c r="X10" i="3" s="1"/>
  <c r="X9" i="3" s="1"/>
  <c r="X15" i="3"/>
  <c r="X16" i="3"/>
  <c r="X17" i="3"/>
  <c r="X18" i="3"/>
  <c r="X19" i="3"/>
  <c r="X20" i="3"/>
  <c r="X25" i="3"/>
  <c r="X26" i="3"/>
  <c r="X27" i="3"/>
  <c r="X29" i="3"/>
  <c r="X30" i="3"/>
  <c r="X31" i="3"/>
  <c r="X32" i="3"/>
  <c r="X33" i="3"/>
  <c r="X35" i="3"/>
  <c r="AG11" i="3"/>
  <c r="AG10" i="3" s="1"/>
  <c r="AG9" i="3" s="1"/>
  <c r="AH11" i="3"/>
  <c r="AH10" i="3" s="1"/>
  <c r="AH9" i="3" s="1"/>
  <c r="AI11" i="3"/>
  <c r="AI10" i="3" s="1"/>
  <c r="AI9" i="3" s="1"/>
  <c r="AJ11" i="3"/>
  <c r="AJ10" i="3" s="1"/>
  <c r="AJ9" i="3" s="1"/>
  <c r="AK11" i="3"/>
  <c r="AK10" i="3" s="1"/>
  <c r="AK9" i="3" s="1"/>
  <c r="AL11" i="3"/>
  <c r="AL10" i="3" s="1"/>
  <c r="AL9" i="3" s="1"/>
  <c r="AM11" i="3"/>
  <c r="AM10" i="3" s="1"/>
  <c r="AM9" i="3" s="1"/>
  <c r="AN11" i="3"/>
  <c r="AN10" i="3" s="1"/>
  <c r="AN9" i="3" s="1"/>
  <c r="AO11" i="3"/>
  <c r="AO10" i="3" s="1"/>
  <c r="AO9" i="3" s="1"/>
  <c r="AP11" i="3"/>
  <c r="AP10" i="3" s="1"/>
  <c r="AP9" i="3" s="1"/>
  <c r="AQ11" i="3"/>
  <c r="AQ10" i="3" s="1"/>
  <c r="AQ9" i="3" s="1"/>
  <c r="AR11" i="3"/>
  <c r="AR10" i="3" s="1"/>
  <c r="AR9" i="3" s="1"/>
  <c r="AS11" i="3"/>
  <c r="AS10" i="3" s="1"/>
  <c r="AS9" i="3" s="1"/>
  <c r="AT11" i="3"/>
  <c r="AT10" i="3" s="1"/>
  <c r="AT9" i="3" s="1"/>
  <c r="AU11" i="3"/>
  <c r="AU10" i="3" s="1"/>
  <c r="AU9" i="3" s="1"/>
  <c r="AV11" i="3"/>
  <c r="AV10" i="3" s="1"/>
  <c r="AV9" i="3" s="1"/>
  <c r="AW11" i="3"/>
  <c r="AW10" i="3" s="1"/>
  <c r="AW9" i="3" s="1"/>
  <c r="AX11" i="3"/>
  <c r="AX10" i="3" s="1"/>
  <c r="AX9" i="3" s="1"/>
  <c r="AY11" i="3"/>
  <c r="AY10" i="3" s="1"/>
  <c r="AY9" i="3" s="1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Q11" i="3"/>
  <c r="Q10" i="3" s="1"/>
  <c r="Q9" i="3" s="1"/>
  <c r="Q15" i="3"/>
  <c r="Q16" i="3"/>
  <c r="Q17" i="3"/>
  <c r="Q18" i="3"/>
  <c r="Q19" i="3"/>
  <c r="Q20" i="3"/>
  <c r="Q25" i="3"/>
  <c r="Q26" i="3"/>
  <c r="Q27" i="3"/>
  <c r="Q30" i="3"/>
  <c r="Q31" i="3"/>
  <c r="Q32" i="3"/>
  <c r="Q33" i="3"/>
  <c r="Q35" i="3"/>
  <c r="X28" i="3" l="1"/>
  <c r="X24" i="3"/>
  <c r="AT24" i="3"/>
  <c r="AP24" i="3"/>
  <c r="AH24" i="3"/>
  <c r="AY14" i="3"/>
  <c r="AQ14" i="3"/>
  <c r="AM14" i="3"/>
  <c r="AI14" i="3"/>
  <c r="AG24" i="3"/>
  <c r="AX24" i="3"/>
  <c r="AW24" i="3"/>
  <c r="AU14" i="3"/>
  <c r="AS24" i="3"/>
  <c r="AO24" i="3"/>
  <c r="AL24" i="3"/>
  <c r="AK24" i="3"/>
  <c r="X14" i="3"/>
  <c r="AR14" i="3"/>
  <c r="AV24" i="3"/>
  <c r="AR24" i="3"/>
  <c r="AN24" i="3"/>
  <c r="AJ24" i="3"/>
  <c r="AV14" i="3"/>
  <c r="AJ14" i="3"/>
  <c r="AY24" i="3"/>
  <c r="AU24" i="3"/>
  <c r="AQ24" i="3"/>
  <c r="AM24" i="3"/>
  <c r="AI24" i="3"/>
  <c r="AX14" i="3"/>
  <c r="AT14" i="3"/>
  <c r="AP14" i="3"/>
  <c r="AL14" i="3"/>
  <c r="AH14" i="3"/>
  <c r="AN14" i="3"/>
  <c r="AW14" i="3"/>
  <c r="AS14" i="3"/>
  <c r="AO14" i="3"/>
  <c r="AK14" i="3"/>
  <c r="AG14" i="3"/>
  <c r="Q24" i="3"/>
  <c r="Q14" i="3"/>
  <c r="X38" i="3" l="1"/>
  <c r="X40" i="3" s="1"/>
  <c r="BC33" i="3"/>
  <c r="BC36" i="3"/>
  <c r="BC32" i="3"/>
  <c r="BC31" i="3"/>
  <c r="BC30" i="3"/>
  <c r="BC29" i="3"/>
  <c r="BC27" i="3"/>
  <c r="BC26" i="3"/>
  <c r="BC25" i="3"/>
  <c r="BC24" i="3"/>
  <c r="BC22" i="3"/>
  <c r="BC21" i="3"/>
  <c r="BC20" i="3"/>
  <c r="BC19" i="3"/>
  <c r="BC18" i="3"/>
  <c r="BC17" i="3"/>
  <c r="BC16" i="3"/>
  <c r="BC15" i="3"/>
  <c r="BC13" i="3"/>
  <c r="BC12" i="3"/>
  <c r="BC11" i="3"/>
  <c r="BC10" i="3"/>
  <c r="BB13" i="3"/>
  <c r="BB23" i="3" l="1"/>
  <c r="BC23" i="3" l="1"/>
  <c r="BC14" i="3"/>
  <c r="BC9" i="3"/>
  <c r="BB28" i="3" l="1"/>
  <c r="BB9" i="3"/>
  <c r="AF25" i="3" l="1"/>
  <c r="AF35" i="3"/>
  <c r="AF33" i="3"/>
  <c r="AF32" i="3"/>
  <c r="AF31" i="3"/>
  <c r="AF30" i="3"/>
  <c r="AF27" i="3"/>
  <c r="AF26" i="3"/>
  <c r="AF20" i="3"/>
  <c r="AF19" i="3"/>
  <c r="AF18" i="3"/>
  <c r="AF17" i="3"/>
  <c r="AF16" i="3"/>
  <c r="AF15" i="3"/>
  <c r="AF11" i="3"/>
  <c r="AF10" i="3" s="1"/>
  <c r="AF9" i="3" s="1"/>
  <c r="AE29" i="3"/>
  <c r="AE24" i="3"/>
  <c r="AE14" i="3"/>
  <c r="AE9" i="3"/>
  <c r="AE28" i="3" l="1"/>
  <c r="AG29" i="3"/>
  <c r="AG28" i="3" s="1"/>
  <c r="AG38" i="3" s="1"/>
  <c r="AG40" i="3" s="1"/>
  <c r="AK29" i="3"/>
  <c r="AK28" i="3" s="1"/>
  <c r="AK38" i="3" s="1"/>
  <c r="AK40" i="3" s="1"/>
  <c r="AO29" i="3"/>
  <c r="AO28" i="3" s="1"/>
  <c r="AO38" i="3" s="1"/>
  <c r="AO40" i="3" s="1"/>
  <c r="AS29" i="3"/>
  <c r="AS28" i="3" s="1"/>
  <c r="AS38" i="3" s="1"/>
  <c r="AS40" i="3" s="1"/>
  <c r="AW29" i="3"/>
  <c r="AW28" i="3" s="1"/>
  <c r="AW38" i="3" s="1"/>
  <c r="AW40" i="3" s="1"/>
  <c r="AR29" i="3"/>
  <c r="AR28" i="3" s="1"/>
  <c r="AR38" i="3" s="1"/>
  <c r="AR40" i="3" s="1"/>
  <c r="AH29" i="3"/>
  <c r="AH28" i="3" s="1"/>
  <c r="AH38" i="3" s="1"/>
  <c r="AH40" i="3" s="1"/>
  <c r="AL29" i="3"/>
  <c r="AL28" i="3" s="1"/>
  <c r="AL38" i="3" s="1"/>
  <c r="AL40" i="3" s="1"/>
  <c r="AP29" i="3"/>
  <c r="AP28" i="3" s="1"/>
  <c r="AP38" i="3" s="1"/>
  <c r="AP40" i="3" s="1"/>
  <c r="AT29" i="3"/>
  <c r="AT28" i="3" s="1"/>
  <c r="AT38" i="3" s="1"/>
  <c r="AT40" i="3" s="1"/>
  <c r="AX29" i="3"/>
  <c r="AX28" i="3" s="1"/>
  <c r="AX38" i="3" s="1"/>
  <c r="AX40" i="3" s="1"/>
  <c r="AN29" i="3"/>
  <c r="AN28" i="3" s="1"/>
  <c r="AN38" i="3" s="1"/>
  <c r="AN40" i="3" s="1"/>
  <c r="AV29" i="3"/>
  <c r="AV28" i="3" s="1"/>
  <c r="AV38" i="3" s="1"/>
  <c r="AV40" i="3" s="1"/>
  <c r="AI29" i="3"/>
  <c r="AI28" i="3" s="1"/>
  <c r="AI38" i="3" s="1"/>
  <c r="AI40" i="3" s="1"/>
  <c r="AM29" i="3"/>
  <c r="AM28" i="3" s="1"/>
  <c r="AM38" i="3" s="1"/>
  <c r="AM40" i="3" s="1"/>
  <c r="AQ29" i="3"/>
  <c r="AQ28" i="3" s="1"/>
  <c r="AQ38" i="3" s="1"/>
  <c r="AQ40" i="3" s="1"/>
  <c r="AU29" i="3"/>
  <c r="AU28" i="3" s="1"/>
  <c r="AU38" i="3" s="1"/>
  <c r="AU40" i="3" s="1"/>
  <c r="AY29" i="3"/>
  <c r="AY28" i="3" s="1"/>
  <c r="AY38" i="3" s="1"/>
  <c r="AY40" i="3" s="1"/>
  <c r="AJ29" i="3"/>
  <c r="AJ28" i="3" s="1"/>
  <c r="AJ38" i="3" s="1"/>
  <c r="AJ40" i="3" s="1"/>
  <c r="AF29" i="3"/>
  <c r="AF28" i="3" s="1"/>
  <c r="AF24" i="3"/>
  <c r="AF14" i="3"/>
  <c r="V11" i="3" l="1"/>
  <c r="V10" i="3" s="1"/>
  <c r="V9" i="3" s="1"/>
  <c r="W11" i="3"/>
  <c r="W10" i="3" s="1"/>
  <c r="W9" i="3" s="1"/>
  <c r="Y11" i="3"/>
  <c r="Y10" i="3" s="1"/>
  <c r="Y9" i="3" s="1"/>
  <c r="Z11" i="3"/>
  <c r="Z10" i="3" s="1"/>
  <c r="Z9" i="3" s="1"/>
  <c r="AA11" i="3"/>
  <c r="AA10" i="3" s="1"/>
  <c r="AA9" i="3" s="1"/>
  <c r="AB11" i="3"/>
  <c r="AB10" i="3" s="1"/>
  <c r="AB9" i="3" s="1"/>
  <c r="V15" i="3"/>
  <c r="W15" i="3"/>
  <c r="Y15" i="3"/>
  <c r="Z15" i="3"/>
  <c r="AA15" i="3"/>
  <c r="AB15" i="3"/>
  <c r="V16" i="3"/>
  <c r="W16" i="3"/>
  <c r="Y16" i="3"/>
  <c r="Z16" i="3"/>
  <c r="AA16" i="3"/>
  <c r="AB16" i="3"/>
  <c r="V17" i="3"/>
  <c r="W17" i="3"/>
  <c r="Y17" i="3"/>
  <c r="Z17" i="3"/>
  <c r="AA17" i="3"/>
  <c r="AB17" i="3"/>
  <c r="V18" i="3"/>
  <c r="W18" i="3"/>
  <c r="Y18" i="3"/>
  <c r="Z18" i="3"/>
  <c r="AA18" i="3"/>
  <c r="AB18" i="3"/>
  <c r="V19" i="3"/>
  <c r="W19" i="3"/>
  <c r="Y19" i="3"/>
  <c r="Z19" i="3"/>
  <c r="AA19" i="3"/>
  <c r="AB19" i="3"/>
  <c r="V20" i="3"/>
  <c r="W20" i="3"/>
  <c r="Y20" i="3"/>
  <c r="Z20" i="3"/>
  <c r="AA20" i="3"/>
  <c r="AB20" i="3"/>
  <c r="V25" i="3"/>
  <c r="W25" i="3"/>
  <c r="Y25" i="3"/>
  <c r="Z25" i="3"/>
  <c r="AA25" i="3"/>
  <c r="AB25" i="3"/>
  <c r="V26" i="3"/>
  <c r="W26" i="3"/>
  <c r="Y26" i="3"/>
  <c r="Z26" i="3"/>
  <c r="AA26" i="3"/>
  <c r="AB26" i="3"/>
  <c r="V27" i="3"/>
  <c r="W27" i="3"/>
  <c r="Y27" i="3"/>
  <c r="Z27" i="3"/>
  <c r="AA27" i="3"/>
  <c r="AB27" i="3"/>
  <c r="V29" i="3"/>
  <c r="W29" i="3"/>
  <c r="Y29" i="3"/>
  <c r="Z29" i="3"/>
  <c r="AA29" i="3"/>
  <c r="AB29" i="3"/>
  <c r="V30" i="3"/>
  <c r="W30" i="3"/>
  <c r="Y30" i="3"/>
  <c r="Z30" i="3"/>
  <c r="AA30" i="3"/>
  <c r="AB30" i="3"/>
  <c r="V31" i="3"/>
  <c r="W31" i="3"/>
  <c r="Y31" i="3"/>
  <c r="Z31" i="3"/>
  <c r="AA31" i="3"/>
  <c r="AB31" i="3"/>
  <c r="V32" i="3"/>
  <c r="W32" i="3"/>
  <c r="Y32" i="3"/>
  <c r="Z32" i="3"/>
  <c r="AA32" i="3"/>
  <c r="AB32" i="3"/>
  <c r="V33" i="3"/>
  <c r="W33" i="3"/>
  <c r="Y33" i="3"/>
  <c r="Z33" i="3"/>
  <c r="AA33" i="3"/>
  <c r="AB33" i="3"/>
  <c r="V35" i="3"/>
  <c r="W35" i="3"/>
  <c r="Y35" i="3"/>
  <c r="Z35" i="3"/>
  <c r="AA35" i="3"/>
  <c r="AB35" i="3"/>
  <c r="U35" i="3"/>
  <c r="U33" i="3"/>
  <c r="U32" i="3"/>
  <c r="U31" i="3"/>
  <c r="U30" i="3"/>
  <c r="U29" i="3"/>
  <c r="U27" i="3"/>
  <c r="U26" i="3"/>
  <c r="U25" i="3"/>
  <c r="U20" i="3"/>
  <c r="U19" i="3"/>
  <c r="U18" i="3"/>
  <c r="U17" i="3"/>
  <c r="U16" i="3"/>
  <c r="U15" i="3"/>
  <c r="U11" i="3"/>
  <c r="U10" i="3" s="1"/>
  <c r="U9" i="3" s="1"/>
  <c r="T28" i="3"/>
  <c r="T24" i="3"/>
  <c r="T14" i="3"/>
  <c r="T9" i="3"/>
  <c r="AB24" i="3" l="1"/>
  <c r="W24" i="3"/>
  <c r="AA24" i="3"/>
  <c r="V24" i="3"/>
  <c r="V28" i="3"/>
  <c r="AA14" i="3"/>
  <c r="Z14" i="3"/>
  <c r="AB28" i="3"/>
  <c r="W28" i="3"/>
  <c r="Y28" i="3"/>
  <c r="Z24" i="3"/>
  <c r="AA28" i="3"/>
  <c r="V14" i="3"/>
  <c r="Z28" i="3"/>
  <c r="Y14" i="3"/>
  <c r="Y24" i="3"/>
  <c r="AB14" i="3"/>
  <c r="W14" i="3"/>
  <c r="U28" i="3"/>
  <c r="U24" i="3"/>
  <c r="U14" i="3"/>
  <c r="M11" i="3"/>
  <c r="M10" i="3" s="1"/>
  <c r="N11" i="3"/>
  <c r="N10" i="3" s="1"/>
  <c r="O11" i="3"/>
  <c r="O10" i="3" s="1"/>
  <c r="P11" i="3"/>
  <c r="P10" i="3" s="1"/>
  <c r="M15" i="3"/>
  <c r="N15" i="3"/>
  <c r="O15" i="3"/>
  <c r="P15" i="3"/>
  <c r="M16" i="3"/>
  <c r="N16" i="3"/>
  <c r="O16" i="3"/>
  <c r="P16" i="3"/>
  <c r="M17" i="3"/>
  <c r="N17" i="3"/>
  <c r="O17" i="3"/>
  <c r="P17" i="3"/>
  <c r="M18" i="3"/>
  <c r="N18" i="3"/>
  <c r="O18" i="3"/>
  <c r="P18" i="3"/>
  <c r="M19" i="3"/>
  <c r="N19" i="3"/>
  <c r="O19" i="3"/>
  <c r="P19" i="3"/>
  <c r="M20" i="3"/>
  <c r="N20" i="3"/>
  <c r="O20" i="3"/>
  <c r="P20" i="3"/>
  <c r="M25" i="3"/>
  <c r="N25" i="3"/>
  <c r="O25" i="3"/>
  <c r="P25" i="3"/>
  <c r="M26" i="3"/>
  <c r="N26" i="3"/>
  <c r="O26" i="3"/>
  <c r="P26" i="3"/>
  <c r="M27" i="3"/>
  <c r="N27" i="3"/>
  <c r="O27" i="3"/>
  <c r="P27" i="3"/>
  <c r="M30" i="3"/>
  <c r="N30" i="3"/>
  <c r="O30" i="3"/>
  <c r="P30" i="3"/>
  <c r="M31" i="3"/>
  <c r="N31" i="3"/>
  <c r="O31" i="3"/>
  <c r="P31" i="3"/>
  <c r="M32" i="3"/>
  <c r="N32" i="3"/>
  <c r="O32" i="3"/>
  <c r="P32" i="3"/>
  <c r="M33" i="3"/>
  <c r="N33" i="3"/>
  <c r="O33" i="3"/>
  <c r="P33" i="3"/>
  <c r="M35" i="3"/>
  <c r="N35" i="3"/>
  <c r="O35" i="3"/>
  <c r="P35" i="3"/>
  <c r="L35" i="3"/>
  <c r="L33" i="3"/>
  <c r="L32" i="3"/>
  <c r="L31" i="3"/>
  <c r="L30" i="3"/>
  <c r="L27" i="3"/>
  <c r="L26" i="3"/>
  <c r="L25" i="3"/>
  <c r="L20" i="3"/>
  <c r="L19" i="3"/>
  <c r="L18" i="3"/>
  <c r="L17" i="3"/>
  <c r="L16" i="3"/>
  <c r="L15" i="3"/>
  <c r="K29" i="3"/>
  <c r="K24" i="3"/>
  <c r="K14" i="3"/>
  <c r="K9" i="3"/>
  <c r="K28" i="3" l="1"/>
  <c r="Q29" i="3"/>
  <c r="Q28" i="3" s="1"/>
  <c r="Q38" i="3" s="1"/>
  <c r="Q40" i="3" s="1"/>
  <c r="Z38" i="3"/>
  <c r="L14" i="3"/>
  <c r="Y38" i="3"/>
  <c r="W38" i="3"/>
  <c r="V38" i="3"/>
  <c r="N29" i="3"/>
  <c r="N28" i="3" s="1"/>
  <c r="U38" i="3"/>
  <c r="AA38" i="3"/>
  <c r="L29" i="3"/>
  <c r="L28" i="3" s="1"/>
  <c r="AB38" i="3"/>
  <c r="N14" i="3"/>
  <c r="M24" i="3"/>
  <c r="M14" i="3"/>
  <c r="L24" i="3"/>
  <c r="P29" i="3"/>
  <c r="P28" i="3" s="1"/>
  <c r="P24" i="3"/>
  <c r="P14" i="3"/>
  <c r="N24" i="3"/>
  <c r="M29" i="3"/>
  <c r="M28" i="3" s="1"/>
  <c r="O29" i="3"/>
  <c r="O28" i="3" s="1"/>
  <c r="O24" i="3"/>
  <c r="O14" i="3"/>
  <c r="M9" i="3"/>
  <c r="O9" i="3"/>
  <c r="P9" i="3"/>
  <c r="N9" i="3"/>
  <c r="U40" i="3" l="1"/>
  <c r="N38" i="3"/>
  <c r="M38" i="3"/>
  <c r="O38" i="3"/>
  <c r="P38" i="3"/>
  <c r="L11" i="3"/>
  <c r="G10" i="3"/>
  <c r="H10" i="3"/>
  <c r="D35" i="3" l="1"/>
  <c r="E10" i="3" l="1"/>
  <c r="F10" i="3"/>
  <c r="E11" i="3"/>
  <c r="F11" i="3"/>
  <c r="G11" i="3"/>
  <c r="G9" i="3" s="1"/>
  <c r="H11" i="3"/>
  <c r="H9" i="3" s="1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5" i="3"/>
  <c r="F25" i="3"/>
  <c r="G25" i="3"/>
  <c r="H25" i="3"/>
  <c r="E26" i="3"/>
  <c r="F26" i="3"/>
  <c r="G26" i="3"/>
  <c r="H26" i="3"/>
  <c r="E27" i="3"/>
  <c r="F27" i="3"/>
  <c r="G27" i="3"/>
  <c r="H27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5" i="3"/>
  <c r="F35" i="3"/>
  <c r="G35" i="3"/>
  <c r="H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F24" i="3"/>
  <c r="D28" i="3"/>
  <c r="F28" i="3"/>
  <c r="E14" i="3"/>
  <c r="E24" i="3"/>
  <c r="E9" i="3"/>
  <c r="G28" i="3"/>
  <c r="H28" i="3"/>
  <c r="H14" i="3"/>
  <c r="G14" i="3"/>
  <c r="F9" i="3"/>
  <c r="E28" i="3"/>
  <c r="G24" i="3"/>
  <c r="H24" i="3"/>
  <c r="F14" i="3"/>
  <c r="F38" i="3" l="1"/>
  <c r="E38" i="3"/>
  <c r="H38" i="3"/>
  <c r="G38" i="3"/>
  <c r="Y40" i="3" l="1"/>
  <c r="Z40" i="3" l="1"/>
  <c r="V40" i="3"/>
  <c r="AA40" i="3"/>
  <c r="W40" i="3"/>
  <c r="AB40" i="3"/>
  <c r="G40" i="3"/>
  <c r="D14" i="3" l="1"/>
  <c r="O40" i="3" l="1"/>
  <c r="M40" i="3" l="1"/>
  <c r="E40" i="3" l="1"/>
  <c r="H40" i="3"/>
  <c r="F40" i="3"/>
  <c r="D9" i="3" l="1"/>
  <c r="D38" i="3" s="1"/>
  <c r="D40" i="3" l="1"/>
  <c r="L10" i="3"/>
  <c r="L38" i="3" s="1"/>
  <c r="L9" i="3" l="1"/>
  <c r="N40" i="3" l="1"/>
  <c r="P40" i="3"/>
  <c r="L40" i="3"/>
  <c r="BC28" i="3"/>
  <c r="BC38" i="3" s="1"/>
  <c r="BC40" i="3" l="1"/>
  <c r="AF38" i="3"/>
  <c r="BB14" i="3"/>
  <c r="BB38" i="3" s="1"/>
  <c r="BB40" i="3" l="1"/>
  <c r="AF40" i="3"/>
</calcChain>
</file>

<file path=xl/sharedStrings.xml><?xml version="1.0" encoding="utf-8"?>
<sst xmlns="http://schemas.openxmlformats.org/spreadsheetml/2006/main" count="354" uniqueCount="166">
  <si>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</si>
  <si>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</si>
  <si>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</si>
  <si>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</si>
  <si>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</si>
  <si>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</si>
  <si>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</si>
  <si>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</si>
  <si>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</si>
  <si>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</si>
  <si>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</si>
  <si>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</si>
  <si>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</si>
  <si>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</si>
  <si>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</si>
  <si>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</si>
  <si>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</si>
  <si>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</si>
  <si>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</si>
  <si>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</si>
  <si>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</si>
  <si>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</si>
  <si>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</si>
  <si>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</si>
  <si>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</si>
  <si>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50</t>
  </si>
  <si>
    <t>14</t>
  </si>
  <si>
    <t>16,1</t>
  </si>
  <si>
    <t>6</t>
  </si>
  <si>
    <t>26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</si>
  <si>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</si>
  <si>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</si>
  <si>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</si>
  <si>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</si>
  <si>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</si>
  <si>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</si>
  <si>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</si>
  <si>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</si>
  <si>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</si>
  <si>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</si>
  <si>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</si>
  <si>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</si>
  <si>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</si>
  <si>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</si>
  <si>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</si>
  <si>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</si>
  <si>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</si>
  <si>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</si>
  <si>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</si>
  <si>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</si>
  <si>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</si>
  <si>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</si>
  <si>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</si>
  <si>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</si>
  <si>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</si>
  <si>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</si>
  <si>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</si>
  <si>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</si>
  <si>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</si>
  <si>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</si>
  <si>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</si>
  <si>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</si>
  <si>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</si>
  <si>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</si>
  <si>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</si>
  <si>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</si>
  <si>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</si>
  <si>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</si>
  <si>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</si>
  <si>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</si>
  <si>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</si>
  <si>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</si>
  <si>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VII. Расходы на ОДН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</si>
  <si>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</si>
  <si>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</si>
  <si>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</si>
  <si>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</si>
  <si>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</si>
  <si>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</si>
  <si>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</si>
  <si>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</si>
  <si>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</si>
  <si>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</si>
  <si>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</si>
  <si>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</si>
  <si>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</si>
  <si>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</si>
  <si>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</si>
  <si>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</si>
  <si>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</si>
  <si>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</si>
  <si>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</si>
  <si>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</si>
  <si>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</si>
  <si>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</si>
  <si>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</si>
  <si>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</si>
  <si>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</si>
  <si>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</si>
  <si>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</si>
  <si>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</si>
  <si>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</si>
  <si>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</si>
  <si>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</si>
  <si>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</si>
  <si>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</si>
  <si>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</si>
  <si>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</si>
  <si>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 xml:space="preserve">Перечень обязательных работ, услуг,                                           5 этажные кирпичные  жилые дома </t>
  </si>
  <si>
    <t>VI. Проведение технической инвентаризации</t>
  </si>
  <si>
    <t>Проведение технической инвентаризации,                           25 000 руб.                                         В тарифе распределяется на площадь жилых помещений в МКД</t>
  </si>
  <si>
    <t>VIII. Расходы на ОДН</t>
  </si>
  <si>
    <t>Приложение № 2</t>
  </si>
  <si>
    <t xml:space="preserve"> извещению и документации </t>
  </si>
  <si>
    <t>о проведении открытого конкурса</t>
  </si>
  <si>
    <t>ВОЛОГОДСКАЯ ул.</t>
  </si>
  <si>
    <t>Самойло ул.</t>
  </si>
  <si>
    <t>27</t>
  </si>
  <si>
    <t>Карельская. ул.</t>
  </si>
  <si>
    <t>49</t>
  </si>
  <si>
    <t>Сибиряковцев прз.</t>
  </si>
  <si>
    <t>Гагарина ул.</t>
  </si>
  <si>
    <t>37</t>
  </si>
  <si>
    <t>Ломоносова пр.</t>
  </si>
  <si>
    <t>172,3</t>
  </si>
  <si>
    <t>Советских космонавтов пр.</t>
  </si>
  <si>
    <t>112</t>
  </si>
  <si>
    <t>Свободы ул.</t>
  </si>
  <si>
    <t>55</t>
  </si>
  <si>
    <t>56</t>
  </si>
  <si>
    <t>57</t>
  </si>
  <si>
    <t>Вологодская ул.</t>
  </si>
  <si>
    <t>1,2</t>
  </si>
  <si>
    <t>33</t>
  </si>
  <si>
    <t>Карельская, ул.</t>
  </si>
  <si>
    <t>47</t>
  </si>
  <si>
    <t>74</t>
  </si>
  <si>
    <t>Ломоносова пр/ Карельская ул.</t>
  </si>
  <si>
    <t>283/22</t>
  </si>
  <si>
    <t>Попова,ул.</t>
  </si>
  <si>
    <t>52</t>
  </si>
  <si>
    <t xml:space="preserve">Гагарина ул., </t>
  </si>
  <si>
    <t>30</t>
  </si>
  <si>
    <t>32</t>
  </si>
  <si>
    <t>36</t>
  </si>
  <si>
    <t>39</t>
  </si>
  <si>
    <t>41</t>
  </si>
  <si>
    <t>39,1</t>
  </si>
  <si>
    <t>Карла Маркса ул.</t>
  </si>
  <si>
    <t>42</t>
  </si>
  <si>
    <t>Обводный канал, пр.</t>
  </si>
  <si>
    <t>59</t>
  </si>
  <si>
    <t>61</t>
  </si>
  <si>
    <t>63</t>
  </si>
  <si>
    <t>28</t>
  </si>
  <si>
    <t>57,1</t>
  </si>
  <si>
    <t>107,1</t>
  </si>
  <si>
    <t>113</t>
  </si>
  <si>
    <t>194,2</t>
  </si>
  <si>
    <t>200,1</t>
  </si>
  <si>
    <t>80</t>
  </si>
  <si>
    <t>Троицкий, пр</t>
  </si>
  <si>
    <t>Комсомольскаяул.</t>
  </si>
  <si>
    <t>Суворова ул.</t>
  </si>
  <si>
    <t>Лот № 1 Октябрьский территориальный округ</t>
  </si>
  <si>
    <t>Логинова 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</si>
</sst>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4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3" xfId="2" applyNumberFormat="1" applyFont="1" applyFill="1" applyBorder="1" applyAlignment="1">
      <alignment horizontal="left" wrapText="1"/>
    </xf>
    <xf numFmtId="49" fontId="13" fillId="2" borderId="14" xfId="2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9" fontId="13" fillId="2" borderId="20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1" xfId="2" applyNumberFormat="1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1" xfId="2" applyNumberFormat="1" applyFont="1" applyFill="1" applyBorder="1" applyAlignment="1">
      <alignment horizontal="left" wrapText="1"/>
    </xf>
    <xf numFmtId="4" fontId="15" fillId="2" borderId="4" xfId="0" applyNumberFormat="1" applyFon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0" fontId="9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" fontId="20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2" fontId="11" fillId="0" borderId="9" xfId="0" applyNumberFormat="1" applyFont="1" applyFill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 applyAlignment="1"/>
    <xf numFmtId="4" fontId="8" fillId="3" borderId="9" xfId="0" applyNumberFormat="1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9" xfId="0" applyNumberFormat="1" applyFont="1" applyBorder="1" applyAlignment="1">
      <alignment horizontal="center" vertical="center"/>
    </xf>
    <xf numFmtId="4" fontId="13" fillId="2" borderId="9" xfId="2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4" fontId="15" fillId="2" borderId="0" xfId="0" applyNumberFormat="1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19" fillId="0" borderId="0" xfId="0" applyNumberFormat="1" applyFont="1" applyAlignment="1"/>
    <xf numFmtId="4" fontId="2" fillId="0" borderId="0" xfId="0" applyNumberFormat="1" applyFont="1" applyAlignment="1">
      <alignment vertical="center"/>
    </xf>
    <xf numFmtId="4" fontId="0" fillId="0" borderId="0" xfId="0" applyNumberFormat="1"/>
    <xf numFmtId="4" fontId="21" fillId="0" borderId="0" xfId="0" applyNumberFormat="1" applyFont="1" applyBorder="1" applyAlignment="1"/>
    <xf numFmtId="4" fontId="21" fillId="0" borderId="0" xfId="0" applyNumberFormat="1" applyFont="1" applyBorder="1" applyAlignment="1">
      <alignment horizontal="center"/>
    </xf>
    <xf numFmtId="4" fontId="21" fillId="0" borderId="0" xfId="0" applyNumberFormat="1" applyFont="1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8" fillId="3" borderId="21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Border="1" applyAlignment="1"/>
    <xf numFmtId="0" fontId="21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8"/>
  <sheetViews>
    <sheetView tabSelected="1" view="pageBreakPreview" topLeftCell="AJ28" zoomScale="86" zoomScaleNormal="100" zoomScaleSheetLayoutView="86" workbookViewId="0">
      <selection activeCell="BG30" sqref="BG30"/>
    </sheetView>
  </sheetViews>
  <sheetFormatPr defaultRowHeight="12.75" x14ac:dyDescent="0.2"/>
  <cols>
    <col min="1" max="1" width="55.5703125" style="6" customWidth="1"/>
    <col min="2" max="2" width="26.140625" style="20" customWidth="1"/>
    <col min="3" max="3" width="20.42578125" style="20" customWidth="1"/>
    <col min="4" max="4" width="9.28515625" style="7" customWidth="1"/>
    <col min="5" max="5" width="13.7109375" style="7" customWidth="1"/>
    <col min="6" max="8" width="9.28515625" style="7" customWidth="1"/>
    <col min="9" max="9" width="60.7109375" style="46" customWidth="1"/>
    <col min="10" max="10" width="25.42578125" style="20" customWidth="1"/>
    <col min="11" max="11" width="23.5703125" style="20" customWidth="1"/>
    <col min="12" max="12" width="9.28515625" style="7" customWidth="1"/>
    <col min="13" max="13" width="10" style="7" customWidth="1"/>
    <col min="14" max="14" width="13.42578125" style="7" customWidth="1"/>
    <col min="15" max="15" width="13" style="7" customWidth="1"/>
    <col min="16" max="17" width="16" style="7" customWidth="1"/>
    <col min="18" max="18" width="48.5703125" style="20" customWidth="1"/>
    <col min="19" max="19" width="26.85546875" style="20" customWidth="1"/>
    <col min="20" max="20" width="17.28515625" style="20" customWidth="1"/>
    <col min="21" max="28" width="9.28515625" style="7" customWidth="1"/>
    <col min="29" max="29" width="74.7109375" style="7" customWidth="1"/>
    <col min="30" max="30" width="24.5703125" style="7" customWidth="1"/>
    <col min="31" max="31" width="25.140625" style="7" customWidth="1"/>
    <col min="32" max="49" width="9.28515625" style="7" customWidth="1"/>
    <col min="50" max="50" width="12.7109375" style="7" customWidth="1"/>
    <col min="51" max="51" width="9.28515625" style="7" customWidth="1"/>
    <col min="52" max="52" width="50" style="7" customWidth="1"/>
    <col min="53" max="53" width="14.7109375" style="7" customWidth="1"/>
    <col min="54" max="56" width="14.5703125" style="7" customWidth="1"/>
    <col min="57" max="57" width="11.5703125" bestFit="1" customWidth="1"/>
    <col min="58" max="58" width="11.5703125" style="128" bestFit="1" customWidth="1"/>
  </cols>
  <sheetData>
    <row r="1" spans="1:60" s="1" customFormat="1" ht="16.5" customHeight="1" x14ac:dyDescent="0.25">
      <c r="A1" s="34" t="s">
        <v>19</v>
      </c>
      <c r="B1" s="34"/>
      <c r="C1" s="34"/>
      <c r="D1" s="16" t="s">
        <v>112</v>
      </c>
      <c r="E1" s="3"/>
      <c r="F1" s="3"/>
      <c r="G1" s="3"/>
      <c r="H1" s="3"/>
      <c r="I1" s="45"/>
      <c r="J1" s="34"/>
      <c r="K1" s="34"/>
      <c r="L1" s="3"/>
      <c r="M1" s="3"/>
      <c r="N1" s="3"/>
      <c r="O1" s="3"/>
      <c r="P1" s="3"/>
      <c r="Q1" s="3"/>
      <c r="R1" s="33"/>
      <c r="S1" s="33"/>
      <c r="T1" s="3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F1" s="123"/>
    </row>
    <row r="2" spans="1:60" s="1" customFormat="1" ht="16.5" customHeight="1" x14ac:dyDescent="0.25">
      <c r="A2" s="34" t="s">
        <v>18</v>
      </c>
      <c r="B2" s="34"/>
      <c r="C2" s="34"/>
      <c r="D2" s="4" t="s">
        <v>113</v>
      </c>
      <c r="E2" s="4"/>
      <c r="F2" s="4"/>
      <c r="G2" s="4"/>
      <c r="H2" s="4"/>
      <c r="I2" s="45"/>
      <c r="J2" s="34"/>
      <c r="K2" s="34"/>
      <c r="L2" s="4"/>
      <c r="M2" s="4"/>
      <c r="N2" s="4"/>
      <c r="O2" s="4"/>
      <c r="P2" s="4"/>
      <c r="Q2" s="4"/>
      <c r="R2" s="33"/>
      <c r="S2" s="33"/>
      <c r="T2" s="3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F2" s="123"/>
    </row>
    <row r="3" spans="1:60" s="1" customFormat="1" ht="16.5" customHeight="1" x14ac:dyDescent="0.25">
      <c r="A3" s="34" t="s">
        <v>17</v>
      </c>
      <c r="B3" s="34"/>
      <c r="C3" s="34"/>
      <c r="D3" s="4" t="s">
        <v>114</v>
      </c>
      <c r="E3" s="4"/>
      <c r="F3" s="4"/>
      <c r="G3" s="4"/>
      <c r="H3" s="4"/>
      <c r="I3" s="45"/>
      <c r="J3" s="34"/>
      <c r="K3" s="34"/>
      <c r="L3" s="4"/>
      <c r="M3" s="4"/>
      <c r="N3" s="4"/>
      <c r="O3" s="4"/>
      <c r="P3" s="4"/>
      <c r="Q3" s="4"/>
      <c r="R3" s="33"/>
      <c r="S3" s="33"/>
      <c r="T3" s="3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F3" s="123"/>
    </row>
    <row r="4" spans="1:60" s="1" customFormat="1" ht="16.5" customHeight="1" x14ac:dyDescent="0.2">
      <c r="A4" s="34" t="s">
        <v>16</v>
      </c>
      <c r="B4" s="34"/>
      <c r="C4" s="34"/>
      <c r="D4" s="7"/>
      <c r="E4" s="7"/>
      <c r="F4" s="7"/>
      <c r="G4" s="7"/>
      <c r="H4" s="7"/>
      <c r="I4" s="45"/>
      <c r="J4" s="34"/>
      <c r="K4" s="34"/>
      <c r="L4" s="7"/>
      <c r="M4" s="7"/>
      <c r="N4" s="7"/>
      <c r="O4" s="7"/>
      <c r="P4" s="7"/>
      <c r="Q4" s="7"/>
      <c r="R4" s="33"/>
      <c r="S4" s="33"/>
      <c r="T4" s="33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F4" s="123"/>
    </row>
    <row r="5" spans="1:60" s="1" customFormat="1" x14ac:dyDescent="0.2">
      <c r="A5" s="5" t="s">
        <v>164</v>
      </c>
      <c r="B5" s="20"/>
      <c r="C5" s="20"/>
      <c r="D5" s="7"/>
      <c r="E5" s="7"/>
      <c r="F5" s="7"/>
      <c r="G5" s="7"/>
      <c r="H5" s="7"/>
      <c r="I5" s="46"/>
      <c r="J5" s="20"/>
      <c r="K5" s="20"/>
      <c r="L5" s="7"/>
      <c r="M5" s="7"/>
      <c r="N5" s="7"/>
      <c r="O5" s="7"/>
      <c r="P5" s="7"/>
      <c r="Q5" s="7"/>
      <c r="R5" s="20"/>
      <c r="S5" s="20"/>
      <c r="T5" s="20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F5" s="123"/>
    </row>
    <row r="6" spans="1:60" s="1" customFormat="1" ht="15.75" customHeight="1" x14ac:dyDescent="0.2">
      <c r="A6" s="132" t="s">
        <v>15</v>
      </c>
      <c r="B6" s="56" t="s">
        <v>14</v>
      </c>
      <c r="C6" s="57"/>
      <c r="D6" s="24"/>
      <c r="E6" s="17"/>
      <c r="F6" s="26"/>
      <c r="G6" s="26"/>
      <c r="H6" s="26"/>
      <c r="I6" s="24"/>
      <c r="J6" s="24"/>
      <c r="K6" s="24"/>
      <c r="L6" s="17"/>
      <c r="M6" s="26"/>
      <c r="N6" s="26"/>
      <c r="O6" s="26"/>
      <c r="P6" s="17"/>
      <c r="Q6" s="26"/>
      <c r="R6" s="38"/>
      <c r="S6" s="38"/>
      <c r="T6" s="38"/>
      <c r="U6" s="17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17"/>
      <c r="BF6" s="26"/>
      <c r="BG6" s="17"/>
      <c r="BH6" s="17"/>
    </row>
    <row r="7" spans="1:60" s="8" customFormat="1" ht="71.25" customHeight="1" x14ac:dyDescent="0.2">
      <c r="A7" s="133"/>
      <c r="B7" s="134" t="s">
        <v>13</v>
      </c>
      <c r="C7" s="136" t="s">
        <v>55</v>
      </c>
      <c r="D7" s="29" t="s">
        <v>115</v>
      </c>
      <c r="E7" s="29" t="s">
        <v>115</v>
      </c>
      <c r="F7" s="30" t="s">
        <v>116</v>
      </c>
      <c r="G7" s="30" t="s">
        <v>118</v>
      </c>
      <c r="H7" s="30" t="s">
        <v>120</v>
      </c>
      <c r="I7" s="74" t="s">
        <v>56</v>
      </c>
      <c r="J7" s="75" t="s">
        <v>13</v>
      </c>
      <c r="K7" s="138" t="s">
        <v>71</v>
      </c>
      <c r="L7" s="67" t="s">
        <v>121</v>
      </c>
      <c r="M7" s="67" t="s">
        <v>121</v>
      </c>
      <c r="N7" s="68" t="s">
        <v>123</v>
      </c>
      <c r="O7" s="68" t="s">
        <v>125</v>
      </c>
      <c r="P7" s="67" t="s">
        <v>127</v>
      </c>
      <c r="Q7" s="67" t="s">
        <v>127</v>
      </c>
      <c r="R7" s="141" t="s">
        <v>15</v>
      </c>
      <c r="S7" s="140" t="s">
        <v>13</v>
      </c>
      <c r="T7" s="140" t="s">
        <v>69</v>
      </c>
      <c r="U7" s="27" t="s">
        <v>131</v>
      </c>
      <c r="V7" s="27" t="s">
        <v>131</v>
      </c>
      <c r="W7" s="28" t="s">
        <v>134</v>
      </c>
      <c r="X7" s="28" t="s">
        <v>165</v>
      </c>
      <c r="Y7" s="30" t="s">
        <v>137</v>
      </c>
      <c r="Z7" s="28" t="s">
        <v>139</v>
      </c>
      <c r="AA7" s="28" t="s">
        <v>139</v>
      </c>
      <c r="AB7" s="28" t="s">
        <v>139</v>
      </c>
      <c r="AC7" s="141" t="s">
        <v>56</v>
      </c>
      <c r="AD7" s="140" t="s">
        <v>13</v>
      </c>
      <c r="AE7" s="140" t="s">
        <v>70</v>
      </c>
      <c r="AF7" s="30" t="s">
        <v>141</v>
      </c>
      <c r="AG7" s="30" t="s">
        <v>141</v>
      </c>
      <c r="AH7" s="30" t="s">
        <v>141</v>
      </c>
      <c r="AI7" s="30" t="s">
        <v>141</v>
      </c>
      <c r="AJ7" s="30" t="s">
        <v>141</v>
      </c>
      <c r="AK7" s="30" t="s">
        <v>141</v>
      </c>
      <c r="AL7" s="30" t="s">
        <v>141</v>
      </c>
      <c r="AM7" s="30" t="s">
        <v>141</v>
      </c>
      <c r="AN7" s="30" t="s">
        <v>148</v>
      </c>
      <c r="AO7" s="30" t="s">
        <v>150</v>
      </c>
      <c r="AP7" s="30" t="s">
        <v>150</v>
      </c>
      <c r="AQ7" s="30" t="s">
        <v>150</v>
      </c>
      <c r="AR7" s="30" t="s">
        <v>127</v>
      </c>
      <c r="AS7" s="30" t="s">
        <v>127</v>
      </c>
      <c r="AT7" s="68" t="s">
        <v>125</v>
      </c>
      <c r="AU7" s="68" t="s">
        <v>125</v>
      </c>
      <c r="AV7" s="68" t="s">
        <v>125</v>
      </c>
      <c r="AW7" s="68" t="s">
        <v>123</v>
      </c>
      <c r="AX7" s="30" t="s">
        <v>150</v>
      </c>
      <c r="AY7" s="30" t="s">
        <v>131</v>
      </c>
      <c r="AZ7" s="135" t="s">
        <v>108</v>
      </c>
      <c r="BA7" s="135" t="s">
        <v>13</v>
      </c>
      <c r="BB7" s="36" t="s">
        <v>161</v>
      </c>
      <c r="BC7" s="36" t="s">
        <v>162</v>
      </c>
      <c r="BD7" s="36" t="s">
        <v>163</v>
      </c>
      <c r="BE7" s="98"/>
      <c r="BF7" s="125"/>
    </row>
    <row r="8" spans="1:60" s="8" customFormat="1" ht="22.5" customHeight="1" x14ac:dyDescent="0.2">
      <c r="A8" s="133"/>
      <c r="B8" s="134"/>
      <c r="C8" s="137"/>
      <c r="D8" s="23" t="s">
        <v>26</v>
      </c>
      <c r="E8" s="23" t="s">
        <v>27</v>
      </c>
      <c r="F8" s="31" t="s">
        <v>117</v>
      </c>
      <c r="G8" s="31" t="s">
        <v>119</v>
      </c>
      <c r="H8" s="31" t="s">
        <v>28</v>
      </c>
      <c r="I8" s="87"/>
      <c r="J8" s="87"/>
      <c r="K8" s="139"/>
      <c r="L8" s="44" t="s">
        <v>30</v>
      </c>
      <c r="M8" s="25" t="s">
        <v>122</v>
      </c>
      <c r="N8" s="25" t="s">
        <v>124</v>
      </c>
      <c r="O8" s="25" t="s">
        <v>126</v>
      </c>
      <c r="P8" s="37" t="s">
        <v>128</v>
      </c>
      <c r="Q8" s="37" t="s">
        <v>130</v>
      </c>
      <c r="R8" s="141"/>
      <c r="S8" s="140"/>
      <c r="T8" s="140"/>
      <c r="U8" s="27" t="s">
        <v>132</v>
      </c>
      <c r="V8" s="27" t="s">
        <v>133</v>
      </c>
      <c r="W8" s="27" t="s">
        <v>135</v>
      </c>
      <c r="X8" s="27" t="s">
        <v>136</v>
      </c>
      <c r="Y8" s="27" t="s">
        <v>138</v>
      </c>
      <c r="Z8" s="27" t="s">
        <v>25</v>
      </c>
      <c r="AA8" s="27" t="s">
        <v>140</v>
      </c>
      <c r="AB8" s="27" t="s">
        <v>129</v>
      </c>
      <c r="AC8" s="141"/>
      <c r="AD8" s="140"/>
      <c r="AE8" s="140"/>
      <c r="AF8" s="27" t="s">
        <v>29</v>
      </c>
      <c r="AG8" s="69" t="s">
        <v>142</v>
      </c>
      <c r="AH8" s="69" t="s">
        <v>143</v>
      </c>
      <c r="AI8" s="69" t="s">
        <v>133</v>
      </c>
      <c r="AJ8" s="69" t="s">
        <v>144</v>
      </c>
      <c r="AK8" s="69" t="s">
        <v>145</v>
      </c>
      <c r="AL8" s="69" t="s">
        <v>146</v>
      </c>
      <c r="AM8" s="69" t="s">
        <v>147</v>
      </c>
      <c r="AN8" s="69" t="s">
        <v>149</v>
      </c>
      <c r="AO8" s="69" t="s">
        <v>151</v>
      </c>
      <c r="AP8" s="69" t="s">
        <v>152</v>
      </c>
      <c r="AQ8" s="69" t="s">
        <v>153</v>
      </c>
      <c r="AR8" s="69" t="s">
        <v>154</v>
      </c>
      <c r="AS8" s="69" t="s">
        <v>155</v>
      </c>
      <c r="AT8" s="69" t="s">
        <v>156</v>
      </c>
      <c r="AU8" s="69" t="s">
        <v>157</v>
      </c>
      <c r="AV8" s="69" t="s">
        <v>158</v>
      </c>
      <c r="AW8" s="69" t="s">
        <v>159</v>
      </c>
      <c r="AX8" s="27" t="s">
        <v>160</v>
      </c>
      <c r="AY8" s="27" t="s">
        <v>130</v>
      </c>
      <c r="AZ8" s="135"/>
      <c r="BA8" s="135"/>
      <c r="BB8" s="90">
        <v>61</v>
      </c>
      <c r="BC8" s="90">
        <v>36</v>
      </c>
      <c r="BD8" s="90">
        <v>9</v>
      </c>
      <c r="BF8" s="125"/>
    </row>
    <row r="9" spans="1:60" s="1" customFormat="1" ht="12.75" customHeight="1" x14ac:dyDescent="0.2">
      <c r="A9" s="49" t="s">
        <v>12</v>
      </c>
      <c r="B9" s="58"/>
      <c r="C9" s="50">
        <v>0</v>
      </c>
      <c r="D9" s="12">
        <f t="shared" ref="D9" si="0">SUM(D10:D13)</f>
        <v>0</v>
      </c>
      <c r="E9" s="12">
        <f t="shared" ref="E9:H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76" t="s">
        <v>12</v>
      </c>
      <c r="J9" s="77"/>
      <c r="K9" s="50">
        <f>SUM(K10:K11)</f>
        <v>0</v>
      </c>
      <c r="L9" s="12">
        <f t="shared" ref="L9:P10" si="2">SUM(L10:L12)</f>
        <v>0</v>
      </c>
      <c r="M9" s="12">
        <f t="shared" si="2"/>
        <v>0</v>
      </c>
      <c r="N9" s="12">
        <f t="shared" si="2"/>
        <v>0</v>
      </c>
      <c r="O9" s="12">
        <f t="shared" si="2"/>
        <v>0</v>
      </c>
      <c r="P9" s="12">
        <f t="shared" si="2"/>
        <v>0</v>
      </c>
      <c r="Q9" s="12">
        <f t="shared" ref="Q9" si="3">SUM(Q10:Q12)</f>
        <v>0</v>
      </c>
      <c r="R9" s="76" t="s">
        <v>12</v>
      </c>
      <c r="S9" s="77"/>
      <c r="T9" s="50">
        <f>SUM(T10:T13)</f>
        <v>0</v>
      </c>
      <c r="U9" s="12">
        <f>SUM(U10:U12)</f>
        <v>0</v>
      </c>
      <c r="V9" s="12">
        <f t="shared" ref="V9:AB9" si="4">SUM(V10:V12)</f>
        <v>0</v>
      </c>
      <c r="W9" s="12">
        <f t="shared" si="4"/>
        <v>0</v>
      </c>
      <c r="X9" s="12">
        <f t="shared" ref="X9" si="5">SUM(X10:X12)</f>
        <v>0</v>
      </c>
      <c r="Y9" s="12">
        <f t="shared" si="4"/>
        <v>0</v>
      </c>
      <c r="Z9" s="12">
        <f t="shared" si="4"/>
        <v>0</v>
      </c>
      <c r="AA9" s="12">
        <f t="shared" si="4"/>
        <v>0</v>
      </c>
      <c r="AB9" s="12">
        <f t="shared" si="4"/>
        <v>0</v>
      </c>
      <c r="AC9" s="76" t="s">
        <v>12</v>
      </c>
      <c r="AD9" s="77"/>
      <c r="AE9" s="50">
        <f>SUM(AE10:AE11)</f>
        <v>0</v>
      </c>
      <c r="AF9" s="12">
        <f>SUM(AF10:AF12)</f>
        <v>0</v>
      </c>
      <c r="AG9" s="12">
        <f t="shared" ref="AG9:AY9" si="6">SUM(AG10:AG12)</f>
        <v>0</v>
      </c>
      <c r="AH9" s="12">
        <f t="shared" si="6"/>
        <v>0</v>
      </c>
      <c r="AI9" s="12">
        <f t="shared" si="6"/>
        <v>0</v>
      </c>
      <c r="AJ9" s="12">
        <f t="shared" si="6"/>
        <v>0</v>
      </c>
      <c r="AK9" s="12">
        <f t="shared" si="6"/>
        <v>0</v>
      </c>
      <c r="AL9" s="12">
        <f t="shared" si="6"/>
        <v>0</v>
      </c>
      <c r="AM9" s="12">
        <f t="shared" si="6"/>
        <v>0</v>
      </c>
      <c r="AN9" s="12">
        <f t="shared" si="6"/>
        <v>0</v>
      </c>
      <c r="AO9" s="12">
        <f t="shared" si="6"/>
        <v>0</v>
      </c>
      <c r="AP9" s="12">
        <f t="shared" si="6"/>
        <v>0</v>
      </c>
      <c r="AQ9" s="12">
        <f t="shared" si="6"/>
        <v>0</v>
      </c>
      <c r="AR9" s="12">
        <f t="shared" si="6"/>
        <v>0</v>
      </c>
      <c r="AS9" s="12">
        <f t="shared" si="6"/>
        <v>0</v>
      </c>
      <c r="AT9" s="12">
        <f t="shared" si="6"/>
        <v>0</v>
      </c>
      <c r="AU9" s="12">
        <f t="shared" si="6"/>
        <v>0</v>
      </c>
      <c r="AV9" s="12">
        <f t="shared" si="6"/>
        <v>0</v>
      </c>
      <c r="AW9" s="12">
        <f t="shared" si="6"/>
        <v>0</v>
      </c>
      <c r="AX9" s="12">
        <f t="shared" si="6"/>
        <v>0</v>
      </c>
      <c r="AY9" s="12">
        <f t="shared" si="6"/>
        <v>0</v>
      </c>
      <c r="AZ9" s="99" t="s">
        <v>12</v>
      </c>
      <c r="BA9" s="100"/>
      <c r="BB9" s="91">
        <f>SUM(BB10:BB13)</f>
        <v>99945.287999999986</v>
      </c>
      <c r="BC9" s="91">
        <f>SUM(BC10:BC13)</f>
        <v>88655.207999999999</v>
      </c>
      <c r="BD9" s="91">
        <f>SUM(BD10:BD13)</f>
        <v>88685.328000000009</v>
      </c>
      <c r="BF9" s="123"/>
    </row>
    <row r="10" spans="1:60" s="1" customFormat="1" ht="12.75" customHeight="1" x14ac:dyDescent="0.2">
      <c r="A10" s="48" t="s">
        <v>20</v>
      </c>
      <c r="B10" s="58" t="s">
        <v>49</v>
      </c>
      <c r="C10" s="47">
        <v>0</v>
      </c>
      <c r="D10" s="10">
        <f>$C$10*12*D39</f>
        <v>0</v>
      </c>
      <c r="E10" s="10">
        <f t="shared" ref="E10:H10" si="7">$C$10*12*E39</f>
        <v>0</v>
      </c>
      <c r="F10" s="10">
        <f t="shared" si="7"/>
        <v>0</v>
      </c>
      <c r="G10" s="10">
        <f t="shared" si="7"/>
        <v>0</v>
      </c>
      <c r="H10" s="10">
        <f t="shared" si="7"/>
        <v>0</v>
      </c>
      <c r="I10" s="78" t="s">
        <v>20</v>
      </c>
      <c r="J10" s="47" t="s">
        <v>57</v>
      </c>
      <c r="K10" s="47">
        <v>0</v>
      </c>
      <c r="L10" s="12">
        <f t="shared" si="2"/>
        <v>0</v>
      </c>
      <c r="M10" s="12">
        <f t="shared" si="2"/>
        <v>0</v>
      </c>
      <c r="N10" s="12">
        <f t="shared" si="2"/>
        <v>0</v>
      </c>
      <c r="O10" s="12">
        <f t="shared" si="2"/>
        <v>0</v>
      </c>
      <c r="P10" s="12">
        <f t="shared" si="2"/>
        <v>0</v>
      </c>
      <c r="Q10" s="12">
        <f t="shared" ref="Q10" si="8">SUM(Q11:Q13)</f>
        <v>0</v>
      </c>
      <c r="R10" s="79" t="s">
        <v>20</v>
      </c>
      <c r="S10" s="47" t="s">
        <v>49</v>
      </c>
      <c r="T10" s="47">
        <v>0</v>
      </c>
      <c r="U10" s="12">
        <f>SUM(U11:U13)</f>
        <v>0</v>
      </c>
      <c r="V10" s="12">
        <f t="shared" ref="V10:AB10" si="9">SUM(V11:V13)</f>
        <v>0</v>
      </c>
      <c r="W10" s="12">
        <f t="shared" si="9"/>
        <v>0</v>
      </c>
      <c r="X10" s="12">
        <f t="shared" ref="X10" si="10">SUM(X11:X13)</f>
        <v>0</v>
      </c>
      <c r="Y10" s="12">
        <f t="shared" si="9"/>
        <v>0</v>
      </c>
      <c r="Z10" s="12">
        <f t="shared" si="9"/>
        <v>0</v>
      </c>
      <c r="AA10" s="12">
        <f t="shared" si="9"/>
        <v>0</v>
      </c>
      <c r="AB10" s="12">
        <f t="shared" si="9"/>
        <v>0</v>
      </c>
      <c r="AC10" s="78" t="s">
        <v>20</v>
      </c>
      <c r="AD10" s="47" t="s">
        <v>57</v>
      </c>
      <c r="AE10" s="47">
        <v>0</v>
      </c>
      <c r="AF10" s="12">
        <f>SUM(AF11:AF13)</f>
        <v>0</v>
      </c>
      <c r="AG10" s="12">
        <f t="shared" ref="AG10:AY10" si="11">SUM(AG11:AG13)</f>
        <v>0</v>
      </c>
      <c r="AH10" s="12">
        <f t="shared" si="11"/>
        <v>0</v>
      </c>
      <c r="AI10" s="12">
        <f t="shared" si="11"/>
        <v>0</v>
      </c>
      <c r="AJ10" s="12">
        <f t="shared" si="11"/>
        <v>0</v>
      </c>
      <c r="AK10" s="12">
        <f t="shared" si="11"/>
        <v>0</v>
      </c>
      <c r="AL10" s="12">
        <f t="shared" si="11"/>
        <v>0</v>
      </c>
      <c r="AM10" s="12">
        <f t="shared" si="11"/>
        <v>0</v>
      </c>
      <c r="AN10" s="12">
        <f t="shared" si="11"/>
        <v>0</v>
      </c>
      <c r="AO10" s="12">
        <f t="shared" si="11"/>
        <v>0</v>
      </c>
      <c r="AP10" s="12">
        <f t="shared" si="11"/>
        <v>0</v>
      </c>
      <c r="AQ10" s="12">
        <f t="shared" si="11"/>
        <v>0</v>
      </c>
      <c r="AR10" s="12">
        <f t="shared" si="11"/>
        <v>0</v>
      </c>
      <c r="AS10" s="12">
        <f t="shared" si="11"/>
        <v>0</v>
      </c>
      <c r="AT10" s="12">
        <f t="shared" si="11"/>
        <v>0</v>
      </c>
      <c r="AU10" s="12">
        <f t="shared" si="11"/>
        <v>0</v>
      </c>
      <c r="AV10" s="12">
        <f t="shared" si="11"/>
        <v>0</v>
      </c>
      <c r="AW10" s="12">
        <f t="shared" si="11"/>
        <v>0</v>
      </c>
      <c r="AX10" s="12">
        <f t="shared" si="11"/>
        <v>0</v>
      </c>
      <c r="AY10" s="12">
        <f t="shared" si="11"/>
        <v>0</v>
      </c>
      <c r="AZ10" s="101" t="s">
        <v>76</v>
      </c>
      <c r="BA10" s="102" t="s">
        <v>77</v>
      </c>
      <c r="BB10" s="92">
        <f>1.01*12*BB39</f>
        <v>45470.603999999999</v>
      </c>
      <c r="BC10" s="93">
        <f>1.14*12*BC39</f>
        <v>40265.712</v>
      </c>
      <c r="BD10" s="93">
        <f>1.14*12*BD39</f>
        <v>40279.392</v>
      </c>
      <c r="BF10" s="123"/>
    </row>
    <row r="11" spans="1:60" s="1" customFormat="1" ht="27.75" customHeight="1" x14ac:dyDescent="0.2">
      <c r="A11" s="48" t="s">
        <v>31</v>
      </c>
      <c r="B11" s="58" t="s">
        <v>50</v>
      </c>
      <c r="C11" s="47">
        <v>0</v>
      </c>
      <c r="D11" s="10">
        <f>$C$11*12*D39</f>
        <v>0</v>
      </c>
      <c r="E11" s="10">
        <f t="shared" ref="E11:H11" si="12">$C$11*12*E39</f>
        <v>0</v>
      </c>
      <c r="F11" s="10">
        <f t="shared" si="12"/>
        <v>0</v>
      </c>
      <c r="G11" s="10">
        <f t="shared" si="12"/>
        <v>0</v>
      </c>
      <c r="H11" s="10">
        <f t="shared" si="12"/>
        <v>0</v>
      </c>
      <c r="I11" s="79" t="s">
        <v>31</v>
      </c>
      <c r="J11" s="47" t="s">
        <v>58</v>
      </c>
      <c r="K11" s="47">
        <v>0</v>
      </c>
      <c r="L11" s="10">
        <f t="shared" ref="L11:Q11" si="13">$K$11*12*L39</f>
        <v>0</v>
      </c>
      <c r="M11" s="10">
        <f t="shared" si="13"/>
        <v>0</v>
      </c>
      <c r="N11" s="10">
        <f t="shared" si="13"/>
        <v>0</v>
      </c>
      <c r="O11" s="10">
        <f t="shared" si="13"/>
        <v>0</v>
      </c>
      <c r="P11" s="10">
        <f t="shared" si="13"/>
        <v>0</v>
      </c>
      <c r="Q11" s="10">
        <f t="shared" si="13"/>
        <v>0</v>
      </c>
      <c r="R11" s="79" t="s">
        <v>31</v>
      </c>
      <c r="S11" s="47" t="s">
        <v>50</v>
      </c>
      <c r="T11" s="47">
        <v>0</v>
      </c>
      <c r="U11" s="10">
        <f>$K$11*12*U39</f>
        <v>0</v>
      </c>
      <c r="V11" s="10">
        <f t="shared" ref="V11:AB11" si="14">$K$11*12*V39</f>
        <v>0</v>
      </c>
      <c r="W11" s="10">
        <f t="shared" si="14"/>
        <v>0</v>
      </c>
      <c r="X11" s="10">
        <f t="shared" ref="X11" si="15">$K$11*12*X39</f>
        <v>0</v>
      </c>
      <c r="Y11" s="10">
        <f t="shared" si="14"/>
        <v>0</v>
      </c>
      <c r="Z11" s="10">
        <f t="shared" si="14"/>
        <v>0</v>
      </c>
      <c r="AA11" s="10">
        <f t="shared" si="14"/>
        <v>0</v>
      </c>
      <c r="AB11" s="10">
        <f t="shared" si="14"/>
        <v>0</v>
      </c>
      <c r="AC11" s="79" t="s">
        <v>31</v>
      </c>
      <c r="AD11" s="47" t="s">
        <v>58</v>
      </c>
      <c r="AE11" s="47">
        <v>0</v>
      </c>
      <c r="AF11" s="10">
        <f>$K$11*12*AF39</f>
        <v>0</v>
      </c>
      <c r="AG11" s="10">
        <f t="shared" ref="AG11:AY11" si="16">$K$11*12*AG39</f>
        <v>0</v>
      </c>
      <c r="AH11" s="10">
        <f t="shared" si="16"/>
        <v>0</v>
      </c>
      <c r="AI11" s="10">
        <f t="shared" si="16"/>
        <v>0</v>
      </c>
      <c r="AJ11" s="10">
        <f t="shared" si="16"/>
        <v>0</v>
      </c>
      <c r="AK11" s="10">
        <f t="shared" si="16"/>
        <v>0</v>
      </c>
      <c r="AL11" s="10">
        <f t="shared" si="16"/>
        <v>0</v>
      </c>
      <c r="AM11" s="10">
        <f t="shared" si="16"/>
        <v>0</v>
      </c>
      <c r="AN11" s="10">
        <f t="shared" si="16"/>
        <v>0</v>
      </c>
      <c r="AO11" s="10">
        <f t="shared" si="16"/>
        <v>0</v>
      </c>
      <c r="AP11" s="10">
        <f t="shared" si="16"/>
        <v>0</v>
      </c>
      <c r="AQ11" s="10">
        <f t="shared" si="16"/>
        <v>0</v>
      </c>
      <c r="AR11" s="10">
        <f t="shared" si="16"/>
        <v>0</v>
      </c>
      <c r="AS11" s="10">
        <f t="shared" si="16"/>
        <v>0</v>
      </c>
      <c r="AT11" s="10">
        <f t="shared" si="16"/>
        <v>0</v>
      </c>
      <c r="AU11" s="10">
        <f t="shared" si="16"/>
        <v>0</v>
      </c>
      <c r="AV11" s="10">
        <f t="shared" si="16"/>
        <v>0</v>
      </c>
      <c r="AW11" s="10">
        <f t="shared" si="16"/>
        <v>0</v>
      </c>
      <c r="AX11" s="10">
        <f t="shared" si="16"/>
        <v>0</v>
      </c>
      <c r="AY11" s="10">
        <f t="shared" si="16"/>
        <v>0</v>
      </c>
      <c r="AZ11" s="101" t="s">
        <v>78</v>
      </c>
      <c r="BA11" s="102" t="s">
        <v>49</v>
      </c>
      <c r="BB11" s="92">
        <f>1.17*12*BB39</f>
        <v>52673.867999999995</v>
      </c>
      <c r="BC11" s="93">
        <f>1.34*12*BC39</f>
        <v>47329.87200000001</v>
      </c>
      <c r="BD11" s="93">
        <f>1.34*12*BD39</f>
        <v>47345.952000000005</v>
      </c>
      <c r="BF11" s="123"/>
    </row>
    <row r="12" spans="1:60" s="1" customFormat="1" ht="25.5" x14ac:dyDescent="0.2">
      <c r="A12" s="48"/>
      <c r="B12" s="58"/>
      <c r="C12" s="47"/>
      <c r="D12" s="10"/>
      <c r="E12" s="10"/>
      <c r="F12" s="10"/>
      <c r="G12" s="10"/>
      <c r="H12" s="10"/>
      <c r="I12" s="78"/>
      <c r="J12" s="47"/>
      <c r="K12" s="47"/>
      <c r="L12" s="10"/>
      <c r="M12" s="10"/>
      <c r="N12" s="10"/>
      <c r="O12" s="10"/>
      <c r="P12" s="10"/>
      <c r="Q12" s="10"/>
      <c r="R12" s="79"/>
      <c r="S12" s="47"/>
      <c r="T12" s="47"/>
      <c r="U12" s="10"/>
      <c r="V12" s="10"/>
      <c r="W12" s="10"/>
      <c r="X12" s="10"/>
      <c r="Y12" s="10"/>
      <c r="Z12" s="10"/>
      <c r="AA12" s="10"/>
      <c r="AB12" s="10"/>
      <c r="AC12" s="78"/>
      <c r="AD12" s="47"/>
      <c r="AE12" s="47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1" t="s">
        <v>79</v>
      </c>
      <c r="BA12" s="102" t="s">
        <v>61</v>
      </c>
      <c r="BB12" s="92">
        <f>0.02*12*BB39</f>
        <v>900.4079999999999</v>
      </c>
      <c r="BC12" s="93">
        <f>0.01*12*BC39</f>
        <v>353.20799999999997</v>
      </c>
      <c r="BD12" s="93">
        <f>0.01*12*BD39</f>
        <v>353.32799999999997</v>
      </c>
      <c r="BF12" s="123"/>
    </row>
    <row r="13" spans="1:60" s="1" customFormat="1" ht="25.5" x14ac:dyDescent="0.2">
      <c r="A13" s="48"/>
      <c r="B13" s="58"/>
      <c r="C13" s="47"/>
      <c r="D13" s="10"/>
      <c r="E13" s="10"/>
      <c r="F13" s="10"/>
      <c r="G13" s="10"/>
      <c r="H13" s="10"/>
      <c r="I13" s="80"/>
      <c r="J13" s="80"/>
      <c r="K13" s="80"/>
      <c r="L13" s="10"/>
      <c r="M13" s="10"/>
      <c r="N13" s="10"/>
      <c r="O13" s="10"/>
      <c r="P13" s="10"/>
      <c r="Q13" s="10"/>
      <c r="R13" s="79"/>
      <c r="S13" s="47"/>
      <c r="T13" s="47"/>
      <c r="U13" s="10"/>
      <c r="V13" s="10"/>
      <c r="W13" s="10"/>
      <c r="X13" s="10"/>
      <c r="Y13" s="10"/>
      <c r="Z13" s="10"/>
      <c r="AA13" s="10"/>
      <c r="AB13" s="10"/>
      <c r="AC13" s="78"/>
      <c r="AD13" s="47"/>
      <c r="AE13" s="47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1" t="s">
        <v>80</v>
      </c>
      <c r="BA13" s="102" t="s">
        <v>61</v>
      </c>
      <c r="BB13" s="92">
        <f>0.02*12*BB39</f>
        <v>900.4079999999999</v>
      </c>
      <c r="BC13" s="93">
        <f>0.02*12*BC39</f>
        <v>706.41599999999994</v>
      </c>
      <c r="BD13" s="93">
        <f>0.02*12*BD39</f>
        <v>706.65599999999995</v>
      </c>
      <c r="BF13" s="123"/>
    </row>
    <row r="14" spans="1:60" s="1" customFormat="1" ht="23.85" customHeight="1" x14ac:dyDescent="0.2">
      <c r="A14" s="49" t="s">
        <v>11</v>
      </c>
      <c r="B14" s="58"/>
      <c r="C14" s="50">
        <f>SUM(C15:C21)</f>
        <v>4.4300000000000006</v>
      </c>
      <c r="D14" s="9">
        <f>SUM(D15:D21)</f>
        <v>24177.167999999998</v>
      </c>
      <c r="E14" s="9">
        <f t="shared" ref="E14:H14" si="17">SUM(E15:E21)</f>
        <v>28382.124</v>
      </c>
      <c r="F14" s="9">
        <f t="shared" si="17"/>
        <v>24533.34</v>
      </c>
      <c r="G14" s="9">
        <f t="shared" si="17"/>
        <v>31571.723999999998</v>
      </c>
      <c r="H14" s="9">
        <f t="shared" si="17"/>
        <v>21965.712</v>
      </c>
      <c r="I14" s="81" t="s">
        <v>11</v>
      </c>
      <c r="J14" s="77"/>
      <c r="K14" s="50">
        <f>SUM(K15:K21)</f>
        <v>4.58</v>
      </c>
      <c r="L14" s="9">
        <f>SUM(L15:L21)</f>
        <v>28513.248</v>
      </c>
      <c r="M14" s="9">
        <f t="shared" ref="M14:P14" si="18">SUM(M15:M21)</f>
        <v>31992.216</v>
      </c>
      <c r="N14" s="9">
        <f t="shared" si="18"/>
        <v>36443.97600000001</v>
      </c>
      <c r="O14" s="9">
        <f t="shared" si="18"/>
        <v>30024.648000000001</v>
      </c>
      <c r="P14" s="9">
        <f t="shared" si="18"/>
        <v>35037</v>
      </c>
      <c r="Q14" s="9">
        <f t="shared" ref="Q14" si="19">SUM(Q15:Q21)</f>
        <v>17147.52</v>
      </c>
      <c r="R14" s="81" t="s">
        <v>11</v>
      </c>
      <c r="S14" s="77"/>
      <c r="T14" s="50">
        <f>SUM(T15:T21)</f>
        <v>4.4300000000000006</v>
      </c>
      <c r="U14" s="9">
        <f>SUM(U15:U21)</f>
        <v>35202.552000000003</v>
      </c>
      <c r="V14" s="9">
        <f t="shared" ref="V14:AB14" si="20">SUM(V15:V21)</f>
        <v>27770.784</v>
      </c>
      <c r="W14" s="9">
        <f t="shared" si="20"/>
        <v>52293.492000000006</v>
      </c>
      <c r="X14" s="9">
        <f t="shared" ref="X14" si="21">SUM(X15:X21)</f>
        <v>21248.052</v>
      </c>
      <c r="Y14" s="9">
        <f t="shared" si="20"/>
        <v>46073.771999999997</v>
      </c>
      <c r="Z14" s="9">
        <f t="shared" si="20"/>
        <v>30620.16</v>
      </c>
      <c r="AA14" s="9">
        <f t="shared" si="20"/>
        <v>31582.356</v>
      </c>
      <c r="AB14" s="9">
        <f t="shared" si="20"/>
        <v>30274.62</v>
      </c>
      <c r="AC14" s="81" t="s">
        <v>11</v>
      </c>
      <c r="AD14" s="77"/>
      <c r="AE14" s="50">
        <f>SUM(AE15:AE21)</f>
        <v>4.58</v>
      </c>
      <c r="AF14" s="9">
        <f>SUM(AF15:AF21)</f>
        <v>26210.423999999999</v>
      </c>
      <c r="AG14" s="9">
        <f t="shared" ref="AG14:AY14" si="22">SUM(AG15:AG21)</f>
        <v>26347.824000000001</v>
      </c>
      <c r="AH14" s="9">
        <f t="shared" si="22"/>
        <v>27155.736000000001</v>
      </c>
      <c r="AI14" s="9">
        <f t="shared" si="22"/>
        <v>32124.120000000003</v>
      </c>
      <c r="AJ14" s="9">
        <f t="shared" si="22"/>
        <v>26204.928</v>
      </c>
      <c r="AK14" s="9">
        <f t="shared" si="22"/>
        <v>32992.487999999998</v>
      </c>
      <c r="AL14" s="9">
        <f t="shared" si="22"/>
        <v>25122.216</v>
      </c>
      <c r="AM14" s="9">
        <f t="shared" si="22"/>
        <v>32497.847999999998</v>
      </c>
      <c r="AN14" s="9">
        <f t="shared" si="22"/>
        <v>16905.696000000004</v>
      </c>
      <c r="AO14" s="9">
        <f t="shared" si="22"/>
        <v>30217.007999999998</v>
      </c>
      <c r="AP14" s="9">
        <f t="shared" si="22"/>
        <v>30299.448</v>
      </c>
      <c r="AQ14" s="9">
        <f t="shared" si="22"/>
        <v>30667.68</v>
      </c>
      <c r="AR14" s="9">
        <f t="shared" si="22"/>
        <v>21384.936000000002</v>
      </c>
      <c r="AS14" s="9">
        <f t="shared" si="22"/>
        <v>9447.6239999999998</v>
      </c>
      <c r="AT14" s="9">
        <f t="shared" si="22"/>
        <v>10502.856</v>
      </c>
      <c r="AU14" s="9">
        <f t="shared" si="22"/>
        <v>10046.688000000002</v>
      </c>
      <c r="AV14" s="9">
        <f t="shared" si="22"/>
        <v>26913.911999999997</v>
      </c>
      <c r="AW14" s="9">
        <f t="shared" si="22"/>
        <v>18895.248</v>
      </c>
      <c r="AX14" s="9">
        <f t="shared" si="22"/>
        <v>18329.160000000003</v>
      </c>
      <c r="AY14" s="9">
        <f t="shared" si="22"/>
        <v>44473.632000000005</v>
      </c>
      <c r="AZ14" s="99" t="s">
        <v>11</v>
      </c>
      <c r="BA14" s="103"/>
      <c r="BB14" s="94">
        <f>SUM(BB15:BB22)</f>
        <v>300736.272</v>
      </c>
      <c r="BC14" s="94">
        <f>SUM(BC15:BC22)</f>
        <v>173778.33600000001</v>
      </c>
      <c r="BD14" s="94">
        <f>SUM(BD15:BD22)</f>
        <v>173837.37599999999</v>
      </c>
      <c r="BF14" s="123"/>
    </row>
    <row r="15" spans="1:60" s="1" customFormat="1" x14ac:dyDescent="0.2">
      <c r="A15" s="48" t="s">
        <v>32</v>
      </c>
      <c r="B15" s="58" t="s">
        <v>21</v>
      </c>
      <c r="C15" s="47">
        <v>0.41</v>
      </c>
      <c r="D15" s="10">
        <f>$C$15*12*D39</f>
        <v>2237.616</v>
      </c>
      <c r="E15" s="10">
        <f t="shared" ref="E15:H15" si="23">$C$15*12*E39</f>
        <v>2626.788</v>
      </c>
      <c r="F15" s="10">
        <f t="shared" si="23"/>
        <v>2270.58</v>
      </c>
      <c r="G15" s="10">
        <f t="shared" si="23"/>
        <v>2921.9879999999998</v>
      </c>
      <c r="H15" s="10">
        <f t="shared" si="23"/>
        <v>2032.944</v>
      </c>
      <c r="I15" s="78" t="s">
        <v>59</v>
      </c>
      <c r="J15" s="47" t="s">
        <v>21</v>
      </c>
      <c r="K15" s="47">
        <v>0.49</v>
      </c>
      <c r="L15" s="10">
        <f>$K$15*12*L39</f>
        <v>3050.5439999999999</v>
      </c>
      <c r="M15" s="10">
        <f t="shared" ref="M15:P15" si="24">$K$15*12*M39</f>
        <v>3422.748</v>
      </c>
      <c r="N15" s="10">
        <f t="shared" si="24"/>
        <v>3899.0280000000002</v>
      </c>
      <c r="O15" s="10">
        <f t="shared" si="24"/>
        <v>3212.2439999999997</v>
      </c>
      <c r="P15" s="10">
        <f t="shared" si="24"/>
        <v>3748.5</v>
      </c>
      <c r="Q15" s="10">
        <f t="shared" ref="Q15" si="25">$K$15*12*Q39</f>
        <v>1834.56</v>
      </c>
      <c r="R15" s="78" t="s">
        <v>32</v>
      </c>
      <c r="S15" s="47" t="s">
        <v>21</v>
      </c>
      <c r="T15" s="47">
        <v>0.41</v>
      </c>
      <c r="U15" s="10">
        <f>$T$15*12*U39</f>
        <v>3258.0240000000003</v>
      </c>
      <c r="V15" s="10">
        <f t="shared" ref="V15:AB15" si="26">$T$15*12*V39</f>
        <v>2570.2079999999996</v>
      </c>
      <c r="W15" s="10">
        <f t="shared" si="26"/>
        <v>4839.8040000000001</v>
      </c>
      <c r="X15" s="10">
        <f t="shared" ref="X15" si="27">$T$15*12*X39</f>
        <v>1966.5239999999999</v>
      </c>
      <c r="Y15" s="10">
        <f t="shared" si="26"/>
        <v>4264.1639999999998</v>
      </c>
      <c r="Z15" s="10">
        <f t="shared" si="26"/>
        <v>2833.92</v>
      </c>
      <c r="AA15" s="10">
        <f t="shared" si="26"/>
        <v>2922.9720000000002</v>
      </c>
      <c r="AB15" s="10">
        <f t="shared" si="26"/>
        <v>2801.94</v>
      </c>
      <c r="AC15" s="78" t="s">
        <v>59</v>
      </c>
      <c r="AD15" s="47" t="s">
        <v>21</v>
      </c>
      <c r="AE15" s="47">
        <v>0.49</v>
      </c>
      <c r="AF15" s="10">
        <f>$AE$15*12*AF39</f>
        <v>2804.172</v>
      </c>
      <c r="AG15" s="10">
        <f t="shared" ref="AG15:AY15" si="28">$AE$15*12*AG39</f>
        <v>2818.8719999999998</v>
      </c>
      <c r="AH15" s="10">
        <f t="shared" si="28"/>
        <v>2905.308</v>
      </c>
      <c r="AI15" s="10">
        <f t="shared" si="28"/>
        <v>3436.86</v>
      </c>
      <c r="AJ15" s="10">
        <f t="shared" si="28"/>
        <v>2803.5839999999998</v>
      </c>
      <c r="AK15" s="10">
        <f t="shared" si="28"/>
        <v>3529.7639999999997</v>
      </c>
      <c r="AL15" s="10">
        <f t="shared" si="28"/>
        <v>2687.748</v>
      </c>
      <c r="AM15" s="10">
        <f t="shared" si="28"/>
        <v>3476.8439999999996</v>
      </c>
      <c r="AN15" s="10">
        <f t="shared" si="28"/>
        <v>1808.6880000000001</v>
      </c>
      <c r="AO15" s="10">
        <f t="shared" si="28"/>
        <v>3232.8239999999996</v>
      </c>
      <c r="AP15" s="10">
        <f t="shared" si="28"/>
        <v>3241.6439999999998</v>
      </c>
      <c r="AQ15" s="10">
        <f t="shared" si="28"/>
        <v>3281.04</v>
      </c>
      <c r="AR15" s="10">
        <f t="shared" si="28"/>
        <v>2287.9079999999999</v>
      </c>
      <c r="AS15" s="10">
        <f t="shared" si="28"/>
        <v>1010.772</v>
      </c>
      <c r="AT15" s="10">
        <f t="shared" si="28"/>
        <v>1123.6679999999999</v>
      </c>
      <c r="AU15" s="10">
        <f t="shared" si="28"/>
        <v>1074.864</v>
      </c>
      <c r="AV15" s="10">
        <f t="shared" si="28"/>
        <v>2879.4359999999997</v>
      </c>
      <c r="AW15" s="10">
        <f t="shared" si="28"/>
        <v>2021.5440000000001</v>
      </c>
      <c r="AX15" s="10">
        <f t="shared" si="28"/>
        <v>1960.98</v>
      </c>
      <c r="AY15" s="10">
        <f t="shared" si="28"/>
        <v>4758.0960000000005</v>
      </c>
      <c r="AZ15" s="101" t="s">
        <v>81</v>
      </c>
      <c r="BA15" s="102" t="s">
        <v>82</v>
      </c>
      <c r="BB15" s="92">
        <f>0.29*12*BB39</f>
        <v>13055.915999999997</v>
      </c>
      <c r="BC15" s="93">
        <f>0.15*12*BC39</f>
        <v>5298.12</v>
      </c>
      <c r="BD15" s="93">
        <f>0.15*12*BD39</f>
        <v>5299.92</v>
      </c>
      <c r="BF15" s="123"/>
    </row>
    <row r="16" spans="1:60" s="1" customFormat="1" x14ac:dyDescent="0.2">
      <c r="A16" s="48" t="s">
        <v>33</v>
      </c>
      <c r="B16" s="58" t="s">
        <v>10</v>
      </c>
      <c r="C16" s="47">
        <v>0.49</v>
      </c>
      <c r="D16" s="10">
        <f>$C$16*12*D39</f>
        <v>2674.2240000000002</v>
      </c>
      <c r="E16" s="10">
        <f t="shared" ref="E16:H16" si="29">$C$16*12*E39</f>
        <v>3139.3319999999999</v>
      </c>
      <c r="F16" s="10">
        <f t="shared" si="29"/>
        <v>2713.62</v>
      </c>
      <c r="G16" s="10">
        <f t="shared" si="29"/>
        <v>3492.1319999999996</v>
      </c>
      <c r="H16" s="10">
        <f t="shared" si="29"/>
        <v>2429.616</v>
      </c>
      <c r="I16" s="78" t="s">
        <v>60</v>
      </c>
      <c r="J16" s="47" t="s">
        <v>10</v>
      </c>
      <c r="K16" s="47">
        <v>0.51</v>
      </c>
      <c r="L16" s="10">
        <f>$K$16*12*L39</f>
        <v>3175.0559999999996</v>
      </c>
      <c r="M16" s="10">
        <f t="shared" ref="M16:P16" si="30">$K$16*12*M39</f>
        <v>3562.4520000000002</v>
      </c>
      <c r="N16" s="10">
        <f t="shared" si="30"/>
        <v>4058.172</v>
      </c>
      <c r="O16" s="10">
        <f t="shared" si="30"/>
        <v>3343.3559999999998</v>
      </c>
      <c r="P16" s="10">
        <f t="shared" si="30"/>
        <v>3901.5</v>
      </c>
      <c r="Q16" s="10">
        <f t="shared" ref="Q16" si="31">$K$16*12*Q39</f>
        <v>1909.44</v>
      </c>
      <c r="R16" s="78" t="s">
        <v>33</v>
      </c>
      <c r="S16" s="47" t="s">
        <v>10</v>
      </c>
      <c r="T16" s="47">
        <v>0.49</v>
      </c>
      <c r="U16" s="10">
        <f>$T$16*12*U39</f>
        <v>3893.7360000000003</v>
      </c>
      <c r="V16" s="10">
        <f t="shared" ref="V16:AB16" si="32">$T$16*12*V39</f>
        <v>3071.712</v>
      </c>
      <c r="W16" s="10">
        <f t="shared" si="32"/>
        <v>5784.1559999999999</v>
      </c>
      <c r="X16" s="10">
        <f t="shared" ref="X16" si="33">$T$16*12*X39</f>
        <v>2350.2359999999999</v>
      </c>
      <c r="Y16" s="10">
        <f t="shared" si="32"/>
        <v>5096.1959999999999</v>
      </c>
      <c r="Z16" s="10">
        <f t="shared" si="32"/>
        <v>3386.88</v>
      </c>
      <c r="AA16" s="10">
        <f t="shared" si="32"/>
        <v>3493.308</v>
      </c>
      <c r="AB16" s="10">
        <f t="shared" si="32"/>
        <v>3348.66</v>
      </c>
      <c r="AC16" s="78" t="s">
        <v>60</v>
      </c>
      <c r="AD16" s="47" t="s">
        <v>10</v>
      </c>
      <c r="AE16" s="47">
        <v>0.51</v>
      </c>
      <c r="AF16" s="10">
        <f>$AE$16*12*AF39</f>
        <v>2918.6279999999997</v>
      </c>
      <c r="AG16" s="10">
        <f t="shared" ref="AG16:AY16" si="34">$AE$16*12*AG39</f>
        <v>2933.9279999999999</v>
      </c>
      <c r="AH16" s="10">
        <f t="shared" si="34"/>
        <v>3023.8920000000003</v>
      </c>
      <c r="AI16" s="10">
        <f t="shared" si="34"/>
        <v>3577.14</v>
      </c>
      <c r="AJ16" s="10">
        <f t="shared" si="34"/>
        <v>2918.0160000000001</v>
      </c>
      <c r="AK16" s="10">
        <f t="shared" si="34"/>
        <v>3673.8359999999998</v>
      </c>
      <c r="AL16" s="10">
        <f t="shared" si="34"/>
        <v>2797.4520000000002</v>
      </c>
      <c r="AM16" s="10">
        <f t="shared" si="34"/>
        <v>3618.7559999999999</v>
      </c>
      <c r="AN16" s="10">
        <f t="shared" si="34"/>
        <v>1882.5120000000002</v>
      </c>
      <c r="AO16" s="10">
        <f t="shared" si="34"/>
        <v>3364.7759999999998</v>
      </c>
      <c r="AP16" s="10">
        <f t="shared" si="34"/>
        <v>3373.9559999999997</v>
      </c>
      <c r="AQ16" s="10">
        <f t="shared" si="34"/>
        <v>3414.96</v>
      </c>
      <c r="AR16" s="10">
        <f t="shared" si="34"/>
        <v>2381.2920000000004</v>
      </c>
      <c r="AS16" s="10">
        <f t="shared" si="34"/>
        <v>1052.028</v>
      </c>
      <c r="AT16" s="10">
        <f t="shared" si="34"/>
        <v>1169.5319999999999</v>
      </c>
      <c r="AU16" s="10">
        <f t="shared" si="34"/>
        <v>1118.7360000000001</v>
      </c>
      <c r="AV16" s="10">
        <f t="shared" si="34"/>
        <v>2996.9639999999999</v>
      </c>
      <c r="AW16" s="10">
        <f t="shared" si="34"/>
        <v>2104.056</v>
      </c>
      <c r="AX16" s="10">
        <f t="shared" si="34"/>
        <v>2041.02</v>
      </c>
      <c r="AY16" s="10">
        <f t="shared" si="34"/>
        <v>4952.3040000000001</v>
      </c>
      <c r="AZ16" s="101" t="s">
        <v>83</v>
      </c>
      <c r="BA16" s="102" t="s">
        <v>82</v>
      </c>
      <c r="BB16" s="92">
        <f>1.06*12*BB39</f>
        <v>47721.624000000003</v>
      </c>
      <c r="BC16" s="93">
        <f>0.69*12*BC39</f>
        <v>24371.351999999999</v>
      </c>
      <c r="BD16" s="93">
        <f>0.69*12*BD39</f>
        <v>24379.631999999998</v>
      </c>
      <c r="BF16" s="123"/>
    </row>
    <row r="17" spans="1:58" s="1" customFormat="1" x14ac:dyDescent="0.2">
      <c r="A17" s="48" t="s">
        <v>34</v>
      </c>
      <c r="B17" s="58" t="s">
        <v>22</v>
      </c>
      <c r="C17" s="47">
        <v>0.37</v>
      </c>
      <c r="D17" s="10">
        <f>$C$17*12*D39</f>
        <v>2019.3119999999999</v>
      </c>
      <c r="E17" s="10">
        <f t="shared" ref="E17:H17" si="35">$C$17*12*E39</f>
        <v>2370.5159999999996</v>
      </c>
      <c r="F17" s="10">
        <f t="shared" si="35"/>
        <v>2049.06</v>
      </c>
      <c r="G17" s="10">
        <f t="shared" si="35"/>
        <v>2636.9159999999997</v>
      </c>
      <c r="H17" s="10">
        <f t="shared" si="35"/>
        <v>1834.6079999999997</v>
      </c>
      <c r="I17" s="78" t="s">
        <v>34</v>
      </c>
      <c r="J17" s="47" t="s">
        <v>22</v>
      </c>
      <c r="K17" s="47">
        <v>0.39</v>
      </c>
      <c r="L17" s="10">
        <f>$K$17*12*L39</f>
        <v>2427.9839999999995</v>
      </c>
      <c r="M17" s="10">
        <f t="shared" ref="M17:P17" si="36">$K$17*12*M39</f>
        <v>2724.2280000000001</v>
      </c>
      <c r="N17" s="10">
        <f t="shared" si="36"/>
        <v>3103.308</v>
      </c>
      <c r="O17" s="10">
        <f t="shared" si="36"/>
        <v>2556.6839999999997</v>
      </c>
      <c r="P17" s="10">
        <f t="shared" si="36"/>
        <v>2983.5</v>
      </c>
      <c r="Q17" s="10">
        <f t="shared" ref="Q17" si="37">$K$17*12*Q39</f>
        <v>1460.1599999999999</v>
      </c>
      <c r="R17" s="78" t="s">
        <v>34</v>
      </c>
      <c r="S17" s="47" t="s">
        <v>22</v>
      </c>
      <c r="T17" s="47">
        <v>0.37</v>
      </c>
      <c r="U17" s="10">
        <f>$T$17*12*U39</f>
        <v>2940.1679999999997</v>
      </c>
      <c r="V17" s="10">
        <f t="shared" ref="V17:AB17" si="38">$T$17*12*V39</f>
        <v>2319.4559999999997</v>
      </c>
      <c r="W17" s="10">
        <f t="shared" si="38"/>
        <v>4367.6279999999997</v>
      </c>
      <c r="X17" s="10">
        <f t="shared" ref="X17" si="39">$T$17*12*X39</f>
        <v>1774.6679999999997</v>
      </c>
      <c r="Y17" s="10">
        <f t="shared" si="38"/>
        <v>3848.1479999999997</v>
      </c>
      <c r="Z17" s="10">
        <f t="shared" si="38"/>
        <v>2557.4399999999996</v>
      </c>
      <c r="AA17" s="10">
        <f t="shared" si="38"/>
        <v>2637.8039999999996</v>
      </c>
      <c r="AB17" s="10">
        <f t="shared" si="38"/>
        <v>2528.58</v>
      </c>
      <c r="AC17" s="78" t="s">
        <v>34</v>
      </c>
      <c r="AD17" s="47" t="s">
        <v>22</v>
      </c>
      <c r="AE17" s="47">
        <v>0.39</v>
      </c>
      <c r="AF17" s="10">
        <f>$AE$17*12*AF39</f>
        <v>2231.8919999999998</v>
      </c>
      <c r="AG17" s="10">
        <f t="shared" ref="AG17:AY17" si="40">$AE$17*12*AG39</f>
        <v>2243.5919999999996</v>
      </c>
      <c r="AH17" s="10">
        <f t="shared" si="40"/>
        <v>2312.3879999999999</v>
      </c>
      <c r="AI17" s="10">
        <f t="shared" si="40"/>
        <v>2735.46</v>
      </c>
      <c r="AJ17" s="10">
        <f t="shared" si="40"/>
        <v>2231.424</v>
      </c>
      <c r="AK17" s="10">
        <f t="shared" si="40"/>
        <v>2809.4039999999995</v>
      </c>
      <c r="AL17" s="10">
        <f t="shared" si="40"/>
        <v>2139.2280000000001</v>
      </c>
      <c r="AM17" s="10">
        <f t="shared" si="40"/>
        <v>2767.2839999999997</v>
      </c>
      <c r="AN17" s="10">
        <f t="shared" si="40"/>
        <v>1439.568</v>
      </c>
      <c r="AO17" s="10">
        <f t="shared" si="40"/>
        <v>2573.0639999999999</v>
      </c>
      <c r="AP17" s="10">
        <f t="shared" si="40"/>
        <v>2580.0839999999998</v>
      </c>
      <c r="AQ17" s="10">
        <f t="shared" si="40"/>
        <v>2611.44</v>
      </c>
      <c r="AR17" s="10">
        <f t="shared" si="40"/>
        <v>1820.9880000000001</v>
      </c>
      <c r="AS17" s="10">
        <f t="shared" si="40"/>
        <v>804.49199999999996</v>
      </c>
      <c r="AT17" s="10">
        <f t="shared" si="40"/>
        <v>894.34799999999996</v>
      </c>
      <c r="AU17" s="10">
        <f t="shared" si="40"/>
        <v>855.50400000000002</v>
      </c>
      <c r="AV17" s="10">
        <f t="shared" si="40"/>
        <v>2291.7959999999998</v>
      </c>
      <c r="AW17" s="10">
        <f t="shared" si="40"/>
        <v>1608.9839999999999</v>
      </c>
      <c r="AX17" s="10">
        <f t="shared" si="40"/>
        <v>1560.78</v>
      </c>
      <c r="AY17" s="10">
        <f t="shared" si="40"/>
        <v>3787.056</v>
      </c>
      <c r="AZ17" s="101" t="s">
        <v>84</v>
      </c>
      <c r="BA17" s="102" t="s">
        <v>10</v>
      </c>
      <c r="BB17" s="92">
        <f>0.27*12*BB39</f>
        <v>12155.508</v>
      </c>
      <c r="BC17" s="93">
        <f>0.46*12*BC39</f>
        <v>16247.568000000001</v>
      </c>
      <c r="BD17" s="93">
        <f>0.46*12*BD39</f>
        <v>16253.088000000002</v>
      </c>
      <c r="BF17" s="123"/>
    </row>
    <row r="18" spans="1:58" s="1" customFormat="1" ht="57.75" customHeight="1" x14ac:dyDescent="0.2">
      <c r="A18" s="51" t="s">
        <v>35</v>
      </c>
      <c r="B18" s="58" t="s">
        <v>9</v>
      </c>
      <c r="C18" s="47">
        <v>0.6</v>
      </c>
      <c r="D18" s="10">
        <f>$C$18*12*D39</f>
        <v>3274.56</v>
      </c>
      <c r="E18" s="10">
        <f t="shared" ref="E18:H18" si="41">$C$18*12*E39</f>
        <v>3844.0799999999995</v>
      </c>
      <c r="F18" s="10">
        <f t="shared" si="41"/>
        <v>3322.7999999999997</v>
      </c>
      <c r="G18" s="10">
        <f t="shared" si="41"/>
        <v>4276.079999999999</v>
      </c>
      <c r="H18" s="10">
        <f t="shared" si="41"/>
        <v>2975.0399999999995</v>
      </c>
      <c r="I18" s="82" t="s">
        <v>35</v>
      </c>
      <c r="J18" s="83" t="s">
        <v>9</v>
      </c>
      <c r="K18" s="47">
        <v>0.62</v>
      </c>
      <c r="L18" s="10">
        <f>$K$18*12*L39</f>
        <v>3859.8719999999994</v>
      </c>
      <c r="M18" s="10">
        <f t="shared" ref="M18:P18" si="42">$K$18*12*M39</f>
        <v>4330.8239999999996</v>
      </c>
      <c r="N18" s="10">
        <f t="shared" si="42"/>
        <v>4933.4639999999999</v>
      </c>
      <c r="O18" s="10">
        <f t="shared" si="42"/>
        <v>4064.4719999999993</v>
      </c>
      <c r="P18" s="10">
        <f t="shared" si="42"/>
        <v>4743</v>
      </c>
      <c r="Q18" s="10">
        <f t="shared" ref="Q18" si="43">$K$18*12*Q39</f>
        <v>2321.2799999999997</v>
      </c>
      <c r="R18" s="82" t="s">
        <v>35</v>
      </c>
      <c r="S18" s="83" t="s">
        <v>9</v>
      </c>
      <c r="T18" s="47">
        <v>0.6</v>
      </c>
      <c r="U18" s="10">
        <f>$T$18*12*U39</f>
        <v>4767.84</v>
      </c>
      <c r="V18" s="10">
        <f t="shared" ref="V18:AB18" si="44">$T$18*12*V39</f>
        <v>3761.2799999999993</v>
      </c>
      <c r="W18" s="10">
        <f t="shared" si="44"/>
        <v>7082.6399999999994</v>
      </c>
      <c r="X18" s="10">
        <f t="shared" ref="X18" si="45">$T$18*12*X39</f>
        <v>2877.8399999999997</v>
      </c>
      <c r="Y18" s="10">
        <f t="shared" si="44"/>
        <v>6240.24</v>
      </c>
      <c r="Z18" s="10">
        <f t="shared" si="44"/>
        <v>4147.2</v>
      </c>
      <c r="AA18" s="10">
        <f t="shared" si="44"/>
        <v>4277.5199999999995</v>
      </c>
      <c r="AB18" s="10">
        <f t="shared" si="44"/>
        <v>4100.3999999999996</v>
      </c>
      <c r="AC18" s="82" t="s">
        <v>35</v>
      </c>
      <c r="AD18" s="83" t="s">
        <v>9</v>
      </c>
      <c r="AE18" s="47">
        <v>0.62</v>
      </c>
      <c r="AF18" s="10">
        <f>$AE$18*12*AF39</f>
        <v>3548.1359999999995</v>
      </c>
      <c r="AG18" s="10">
        <f t="shared" ref="AG18:AY18" si="46">$AE$18*12*AG39</f>
        <v>3566.7359999999994</v>
      </c>
      <c r="AH18" s="10">
        <f t="shared" si="46"/>
        <v>3676.1039999999998</v>
      </c>
      <c r="AI18" s="10">
        <f t="shared" si="46"/>
        <v>4348.6799999999994</v>
      </c>
      <c r="AJ18" s="10">
        <f t="shared" si="46"/>
        <v>3547.3919999999998</v>
      </c>
      <c r="AK18" s="10">
        <f t="shared" si="46"/>
        <v>4466.2319999999991</v>
      </c>
      <c r="AL18" s="10">
        <f t="shared" si="46"/>
        <v>3400.8240000000001</v>
      </c>
      <c r="AM18" s="10">
        <f t="shared" si="46"/>
        <v>4399.271999999999</v>
      </c>
      <c r="AN18" s="10">
        <f t="shared" si="46"/>
        <v>2288.5439999999999</v>
      </c>
      <c r="AO18" s="10">
        <f t="shared" si="46"/>
        <v>4090.5119999999993</v>
      </c>
      <c r="AP18" s="10">
        <f t="shared" si="46"/>
        <v>4101.6719999999996</v>
      </c>
      <c r="AQ18" s="10">
        <f t="shared" si="46"/>
        <v>4151.5199999999995</v>
      </c>
      <c r="AR18" s="10">
        <f t="shared" si="46"/>
        <v>2894.904</v>
      </c>
      <c r="AS18" s="10">
        <f t="shared" si="46"/>
        <v>1278.9359999999999</v>
      </c>
      <c r="AT18" s="10">
        <f t="shared" si="46"/>
        <v>1421.7839999999999</v>
      </c>
      <c r="AU18" s="10">
        <f t="shared" si="46"/>
        <v>1360.0319999999999</v>
      </c>
      <c r="AV18" s="10">
        <f t="shared" si="46"/>
        <v>3643.3679999999995</v>
      </c>
      <c r="AW18" s="10">
        <f t="shared" si="46"/>
        <v>2557.8719999999998</v>
      </c>
      <c r="AX18" s="10">
        <f t="shared" si="46"/>
        <v>2481.2399999999998</v>
      </c>
      <c r="AY18" s="10">
        <f t="shared" si="46"/>
        <v>6020.4480000000003</v>
      </c>
      <c r="AZ18" s="101" t="s">
        <v>85</v>
      </c>
      <c r="BA18" s="102" t="s">
        <v>86</v>
      </c>
      <c r="BB18" s="92">
        <f>0.11*12*BB39</f>
        <v>4952.2439999999997</v>
      </c>
      <c r="BC18" s="93">
        <f>0.12*12*BC39</f>
        <v>4238.4960000000001</v>
      </c>
      <c r="BD18" s="93">
        <f>0.12*12*BD39</f>
        <v>4239.9359999999997</v>
      </c>
      <c r="BF18" s="123"/>
    </row>
    <row r="19" spans="1:58" s="1" customFormat="1" ht="38.25" customHeight="1" x14ac:dyDescent="0.2">
      <c r="A19" s="48" t="s">
        <v>36</v>
      </c>
      <c r="B19" s="58" t="s">
        <v>50</v>
      </c>
      <c r="C19" s="47">
        <v>7.0000000000000007E-2</v>
      </c>
      <c r="D19" s="10">
        <f>$C$19*12*D39</f>
        <v>382.03200000000004</v>
      </c>
      <c r="E19" s="10">
        <f t="shared" ref="E19:H19" si="47">$C$19*12*E39</f>
        <v>448.476</v>
      </c>
      <c r="F19" s="10">
        <f t="shared" si="47"/>
        <v>387.66</v>
      </c>
      <c r="G19" s="10">
        <f t="shared" si="47"/>
        <v>498.87600000000003</v>
      </c>
      <c r="H19" s="10">
        <f t="shared" si="47"/>
        <v>347.08800000000002</v>
      </c>
      <c r="I19" s="79" t="s">
        <v>36</v>
      </c>
      <c r="J19" s="47" t="s">
        <v>61</v>
      </c>
      <c r="K19" s="47">
        <v>0.08</v>
      </c>
      <c r="L19" s="10">
        <f>$K$19*12*L39</f>
        <v>498.04799999999994</v>
      </c>
      <c r="M19" s="10">
        <f t="shared" ref="M19:P19" si="48">$K$19*12*M39</f>
        <v>558.81600000000003</v>
      </c>
      <c r="N19" s="10">
        <f t="shared" si="48"/>
        <v>636.57600000000002</v>
      </c>
      <c r="O19" s="10">
        <f t="shared" si="48"/>
        <v>524.44799999999998</v>
      </c>
      <c r="P19" s="10">
        <f t="shared" si="48"/>
        <v>612</v>
      </c>
      <c r="Q19" s="10">
        <f t="shared" ref="Q19" si="49">$K$19*12*Q39</f>
        <v>299.52</v>
      </c>
      <c r="R19" s="79" t="s">
        <v>36</v>
      </c>
      <c r="S19" s="47" t="s">
        <v>50</v>
      </c>
      <c r="T19" s="47">
        <v>7.0000000000000007E-2</v>
      </c>
      <c r="U19" s="10">
        <f>$T$19*12*U39</f>
        <v>556.24800000000005</v>
      </c>
      <c r="V19" s="10">
        <f t="shared" ref="V19:AB19" si="50">$T$19*12*V39</f>
        <v>438.81600000000003</v>
      </c>
      <c r="W19" s="10">
        <f t="shared" si="50"/>
        <v>826.30800000000011</v>
      </c>
      <c r="X19" s="10">
        <f t="shared" ref="X19" si="51">$T$19*12*X39</f>
        <v>335.74800000000005</v>
      </c>
      <c r="Y19" s="10">
        <f t="shared" si="50"/>
        <v>728.02800000000013</v>
      </c>
      <c r="Z19" s="10">
        <f t="shared" si="50"/>
        <v>483.84000000000003</v>
      </c>
      <c r="AA19" s="10">
        <f t="shared" si="50"/>
        <v>499.04400000000004</v>
      </c>
      <c r="AB19" s="10">
        <f t="shared" si="50"/>
        <v>478.38000000000005</v>
      </c>
      <c r="AC19" s="79" t="s">
        <v>36</v>
      </c>
      <c r="AD19" s="47" t="s">
        <v>61</v>
      </c>
      <c r="AE19" s="47">
        <v>0.08</v>
      </c>
      <c r="AF19" s="10">
        <f>$AE$19*12*AF39</f>
        <v>457.82399999999996</v>
      </c>
      <c r="AG19" s="10">
        <f t="shared" ref="AG19:AY19" si="52">$AE$19*12*AG39</f>
        <v>460.22399999999999</v>
      </c>
      <c r="AH19" s="10">
        <f t="shared" si="52"/>
        <v>474.33600000000001</v>
      </c>
      <c r="AI19" s="10">
        <f t="shared" si="52"/>
        <v>561.12</v>
      </c>
      <c r="AJ19" s="10">
        <f t="shared" si="52"/>
        <v>457.72800000000001</v>
      </c>
      <c r="AK19" s="10">
        <f t="shared" si="52"/>
        <v>576.2879999999999</v>
      </c>
      <c r="AL19" s="10">
        <f t="shared" si="52"/>
        <v>438.81600000000003</v>
      </c>
      <c r="AM19" s="10">
        <f t="shared" si="52"/>
        <v>567.64799999999991</v>
      </c>
      <c r="AN19" s="10">
        <f t="shared" si="52"/>
        <v>295.29599999999999</v>
      </c>
      <c r="AO19" s="10">
        <f t="shared" si="52"/>
        <v>527.80799999999999</v>
      </c>
      <c r="AP19" s="10">
        <f t="shared" si="52"/>
        <v>529.24799999999993</v>
      </c>
      <c r="AQ19" s="10">
        <f t="shared" si="52"/>
        <v>535.67999999999995</v>
      </c>
      <c r="AR19" s="10">
        <f t="shared" si="52"/>
        <v>373.536</v>
      </c>
      <c r="AS19" s="10">
        <f t="shared" si="52"/>
        <v>165.024</v>
      </c>
      <c r="AT19" s="10">
        <f t="shared" si="52"/>
        <v>183.45599999999999</v>
      </c>
      <c r="AU19" s="10">
        <f t="shared" si="52"/>
        <v>175.488</v>
      </c>
      <c r="AV19" s="10">
        <f t="shared" si="52"/>
        <v>470.11199999999997</v>
      </c>
      <c r="AW19" s="10">
        <f t="shared" si="52"/>
        <v>330.048</v>
      </c>
      <c r="AX19" s="10">
        <f t="shared" si="52"/>
        <v>320.15999999999997</v>
      </c>
      <c r="AY19" s="10">
        <f t="shared" si="52"/>
        <v>776.83199999999999</v>
      </c>
      <c r="AZ19" s="101" t="s">
        <v>87</v>
      </c>
      <c r="BA19" s="102" t="s">
        <v>82</v>
      </c>
      <c r="BB19" s="92">
        <f>1.22*12*BB39</f>
        <v>54924.887999999999</v>
      </c>
      <c r="BC19" s="93">
        <f>0.31*12*BC39</f>
        <v>10949.448</v>
      </c>
      <c r="BD19" s="93">
        <f>0.31*12*BD39</f>
        <v>10953.168</v>
      </c>
      <c r="BF19" s="123"/>
    </row>
    <row r="20" spans="1:58" s="1" customFormat="1" ht="25.5" x14ac:dyDescent="0.2">
      <c r="A20" s="48" t="s">
        <v>37</v>
      </c>
      <c r="B20" s="58" t="s">
        <v>51</v>
      </c>
      <c r="C20" s="47">
        <v>2.4900000000000002</v>
      </c>
      <c r="D20" s="10">
        <f>$C$20*12*D39</f>
        <v>13589.424000000001</v>
      </c>
      <c r="E20" s="10">
        <f t="shared" ref="E20:H20" si="53">$C$20*12*E39</f>
        <v>15952.932000000001</v>
      </c>
      <c r="F20" s="10">
        <f t="shared" si="53"/>
        <v>13789.62</v>
      </c>
      <c r="G20" s="10">
        <f t="shared" si="53"/>
        <v>17745.732</v>
      </c>
      <c r="H20" s="10">
        <f t="shared" si="53"/>
        <v>12346.416000000001</v>
      </c>
      <c r="I20" s="78" t="s">
        <v>37</v>
      </c>
      <c r="J20" s="84" t="s">
        <v>62</v>
      </c>
      <c r="K20" s="47">
        <v>2.4900000000000002</v>
      </c>
      <c r="L20" s="10">
        <f>$K$20*12*L39</f>
        <v>15501.744000000001</v>
      </c>
      <c r="M20" s="10">
        <f t="shared" ref="M20:P20" si="54">$K$20*12*M39</f>
        <v>17393.148000000001</v>
      </c>
      <c r="N20" s="10">
        <f t="shared" si="54"/>
        <v>19813.428000000004</v>
      </c>
      <c r="O20" s="10">
        <f t="shared" si="54"/>
        <v>16323.444</v>
      </c>
      <c r="P20" s="10">
        <f t="shared" si="54"/>
        <v>19048.5</v>
      </c>
      <c r="Q20" s="10">
        <f t="shared" ref="Q20" si="55">$K$20*12*Q39</f>
        <v>9322.5600000000013</v>
      </c>
      <c r="R20" s="78" t="s">
        <v>37</v>
      </c>
      <c r="S20" s="84" t="s">
        <v>51</v>
      </c>
      <c r="T20" s="47">
        <v>2.4900000000000002</v>
      </c>
      <c r="U20" s="10">
        <f>$T$20*12*U39</f>
        <v>19786.536000000004</v>
      </c>
      <c r="V20" s="10">
        <f t="shared" ref="V20:AB20" si="56">$T$20*12*V39</f>
        <v>15609.312</v>
      </c>
      <c r="W20" s="10">
        <f t="shared" si="56"/>
        <v>29392.956000000006</v>
      </c>
      <c r="X20" s="10">
        <f t="shared" ref="X20" si="57">$T$20*12*X39</f>
        <v>11943.036</v>
      </c>
      <c r="Y20" s="10">
        <f t="shared" si="56"/>
        <v>25896.996000000003</v>
      </c>
      <c r="Z20" s="10">
        <f t="shared" si="56"/>
        <v>17210.88</v>
      </c>
      <c r="AA20" s="10">
        <f t="shared" si="56"/>
        <v>17751.708000000002</v>
      </c>
      <c r="AB20" s="10">
        <f t="shared" si="56"/>
        <v>17016.66</v>
      </c>
      <c r="AC20" s="78" t="s">
        <v>37</v>
      </c>
      <c r="AD20" s="84" t="s">
        <v>62</v>
      </c>
      <c r="AE20" s="47">
        <v>2.4900000000000002</v>
      </c>
      <c r="AF20" s="10">
        <f>$AE$20*12*AF39</f>
        <v>14249.772000000001</v>
      </c>
      <c r="AG20" s="10">
        <f t="shared" ref="AG20:AY20" si="58">$AE$20*12*AG39</f>
        <v>14324.472</v>
      </c>
      <c r="AH20" s="10">
        <f t="shared" si="58"/>
        <v>14763.708000000002</v>
      </c>
      <c r="AI20" s="10">
        <f t="shared" si="58"/>
        <v>17464.86</v>
      </c>
      <c r="AJ20" s="10">
        <f t="shared" si="58"/>
        <v>14246.784000000001</v>
      </c>
      <c r="AK20" s="10">
        <f t="shared" si="58"/>
        <v>17936.964</v>
      </c>
      <c r="AL20" s="10">
        <f t="shared" si="58"/>
        <v>13658.148000000001</v>
      </c>
      <c r="AM20" s="10">
        <f t="shared" si="58"/>
        <v>17668.044000000002</v>
      </c>
      <c r="AN20" s="10">
        <f t="shared" si="58"/>
        <v>9191.0880000000016</v>
      </c>
      <c r="AO20" s="10">
        <f t="shared" si="58"/>
        <v>16428.024000000001</v>
      </c>
      <c r="AP20" s="10">
        <f t="shared" si="58"/>
        <v>16472.844000000001</v>
      </c>
      <c r="AQ20" s="10">
        <f t="shared" si="58"/>
        <v>16673.04</v>
      </c>
      <c r="AR20" s="10">
        <f t="shared" si="58"/>
        <v>11626.308000000001</v>
      </c>
      <c r="AS20" s="10">
        <f t="shared" si="58"/>
        <v>5136.3720000000003</v>
      </c>
      <c r="AT20" s="10">
        <f t="shared" si="58"/>
        <v>5710.0680000000002</v>
      </c>
      <c r="AU20" s="10">
        <f t="shared" si="58"/>
        <v>5462.0640000000012</v>
      </c>
      <c r="AV20" s="10">
        <f t="shared" si="58"/>
        <v>14632.236000000001</v>
      </c>
      <c r="AW20" s="10">
        <f t="shared" si="58"/>
        <v>10272.744000000001</v>
      </c>
      <c r="AX20" s="10">
        <f t="shared" si="58"/>
        <v>9964.9800000000014</v>
      </c>
      <c r="AY20" s="10">
        <f t="shared" si="58"/>
        <v>24178.896000000004</v>
      </c>
      <c r="AZ20" s="101" t="s">
        <v>88</v>
      </c>
      <c r="BA20" s="102" t="s">
        <v>86</v>
      </c>
      <c r="BB20" s="92">
        <v>0</v>
      </c>
      <c r="BC20" s="93">
        <f>0.17*12*BC39</f>
        <v>6004.5360000000001</v>
      </c>
      <c r="BD20" s="93">
        <f>0.17*12*BD39</f>
        <v>6006.576</v>
      </c>
      <c r="BF20" s="123"/>
    </row>
    <row r="21" spans="1:58" s="40" customFormat="1" ht="12.75" customHeight="1" x14ac:dyDescent="0.2">
      <c r="A21" s="59"/>
      <c r="B21" s="60"/>
      <c r="C21" s="61"/>
      <c r="D21" s="39"/>
      <c r="E21" s="39"/>
      <c r="F21" s="39"/>
      <c r="G21" s="39"/>
      <c r="H21" s="39"/>
      <c r="I21" s="78"/>
      <c r="J21" s="47"/>
      <c r="K21" s="47"/>
      <c r="L21" s="39"/>
      <c r="M21" s="39"/>
      <c r="N21" s="39"/>
      <c r="O21" s="39"/>
      <c r="P21" s="39"/>
      <c r="Q21" s="39"/>
      <c r="R21" s="78"/>
      <c r="S21" s="47"/>
      <c r="T21" s="47"/>
      <c r="U21" s="39"/>
      <c r="V21" s="39"/>
      <c r="W21" s="39"/>
      <c r="X21" s="39"/>
      <c r="Y21" s="39"/>
      <c r="Z21" s="39"/>
      <c r="AA21" s="39"/>
      <c r="AB21" s="39"/>
      <c r="AC21" s="78"/>
      <c r="AD21" s="47"/>
      <c r="AE21" s="47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1" t="s">
        <v>89</v>
      </c>
      <c r="BA21" s="104" t="s">
        <v>9</v>
      </c>
      <c r="BB21" s="92">
        <f>1.28*12*BB39</f>
        <v>57626.111999999994</v>
      </c>
      <c r="BC21" s="93">
        <f>0.54*12*BC39</f>
        <v>19073.232000000004</v>
      </c>
      <c r="BD21" s="93">
        <f>0.54*12*BD39</f>
        <v>19079.712000000003</v>
      </c>
      <c r="BF21" s="126"/>
    </row>
    <row r="22" spans="1:58" s="40" customFormat="1" ht="12.75" customHeight="1" x14ac:dyDescent="0.2">
      <c r="A22" s="88"/>
      <c r="B22" s="60"/>
      <c r="C22" s="61"/>
      <c r="D22" s="39"/>
      <c r="E22" s="39"/>
      <c r="F22" s="39"/>
      <c r="G22" s="39"/>
      <c r="H22" s="39"/>
      <c r="I22" s="89"/>
      <c r="J22" s="47"/>
      <c r="K22" s="47"/>
      <c r="L22" s="39"/>
      <c r="M22" s="39"/>
      <c r="N22" s="39"/>
      <c r="O22" s="39"/>
      <c r="P22" s="39"/>
      <c r="Q22" s="39"/>
      <c r="R22" s="89"/>
      <c r="S22" s="47"/>
      <c r="T22" s="47"/>
      <c r="U22" s="39"/>
      <c r="V22" s="39"/>
      <c r="W22" s="39"/>
      <c r="X22" s="39"/>
      <c r="Y22" s="39"/>
      <c r="Z22" s="39"/>
      <c r="AA22" s="39"/>
      <c r="AB22" s="39"/>
      <c r="AC22" s="89"/>
      <c r="AD22" s="47"/>
      <c r="AE22" s="47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1" t="s">
        <v>90</v>
      </c>
      <c r="BA22" s="102" t="s">
        <v>10</v>
      </c>
      <c r="BB22" s="92">
        <f>2.45*12*BB39</f>
        <v>110299.98</v>
      </c>
      <c r="BC22" s="93">
        <f>2.48*12*BC39</f>
        <v>87595.584000000003</v>
      </c>
      <c r="BD22" s="93">
        <f>2.48*12*BD39</f>
        <v>87625.343999999997</v>
      </c>
      <c r="BF22" s="126"/>
    </row>
    <row r="23" spans="1:58" s="40" customFormat="1" ht="12.75" customHeight="1" x14ac:dyDescent="0.2">
      <c r="A23" s="88"/>
      <c r="B23" s="60"/>
      <c r="C23" s="61"/>
      <c r="D23" s="39"/>
      <c r="E23" s="39"/>
      <c r="F23" s="39"/>
      <c r="G23" s="39"/>
      <c r="H23" s="39"/>
      <c r="I23" s="89"/>
      <c r="J23" s="47"/>
      <c r="K23" s="47"/>
      <c r="L23" s="39"/>
      <c r="M23" s="39"/>
      <c r="N23" s="39"/>
      <c r="O23" s="39"/>
      <c r="P23" s="39"/>
      <c r="Q23" s="39"/>
      <c r="R23" s="89"/>
      <c r="S23" s="47"/>
      <c r="T23" s="47"/>
      <c r="U23" s="39"/>
      <c r="V23" s="39"/>
      <c r="W23" s="39"/>
      <c r="X23" s="39"/>
      <c r="Y23" s="39"/>
      <c r="Z23" s="39"/>
      <c r="AA23" s="39"/>
      <c r="AB23" s="39"/>
      <c r="AC23" s="89"/>
      <c r="AD23" s="47"/>
      <c r="AE23" s="47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99" t="s">
        <v>8</v>
      </c>
      <c r="BA23" s="103"/>
      <c r="BB23" s="94">
        <f>SUM(BB24:BB27)</f>
        <v>177380.37599999999</v>
      </c>
      <c r="BC23" s="94">
        <f>SUM(BC24:BC27)</f>
        <v>125035.63200000001</v>
      </c>
      <c r="BD23" s="94">
        <f>SUM(BD24:BD27)</f>
        <v>125078.11200000002</v>
      </c>
      <c r="BF23" s="126"/>
    </row>
    <row r="24" spans="1:58" s="1" customFormat="1" ht="27" customHeight="1" x14ac:dyDescent="0.2">
      <c r="A24" s="49" t="s">
        <v>8</v>
      </c>
      <c r="B24" s="58"/>
      <c r="C24" s="52">
        <f>SUM(C25:C27)</f>
        <v>2.1399999999999997</v>
      </c>
      <c r="D24" s="11">
        <f>SUM(D25:D27)</f>
        <v>11679.263999999999</v>
      </c>
      <c r="E24" s="11">
        <f t="shared" ref="E24:H24" si="59">SUM(E25:E27)</f>
        <v>13710.552</v>
      </c>
      <c r="F24" s="11">
        <f t="shared" si="59"/>
        <v>11851.32</v>
      </c>
      <c r="G24" s="11">
        <f t="shared" si="59"/>
        <v>15251.351999999999</v>
      </c>
      <c r="H24" s="11">
        <f t="shared" si="59"/>
        <v>10610.975999999999</v>
      </c>
      <c r="I24" s="81" t="s">
        <v>8</v>
      </c>
      <c r="J24" s="77"/>
      <c r="K24" s="52">
        <f>SUM(K25:K27)</f>
        <v>4.93</v>
      </c>
      <c r="L24" s="11">
        <f>SUM(L25:L27)</f>
        <v>30692.207999999999</v>
      </c>
      <c r="M24" s="11">
        <f t="shared" ref="M24:P24" si="60">SUM(M25:M27)</f>
        <v>34437.036000000007</v>
      </c>
      <c r="N24" s="11">
        <f t="shared" si="60"/>
        <v>39228.995999999999</v>
      </c>
      <c r="O24" s="11">
        <f t="shared" si="60"/>
        <v>32319.107999999997</v>
      </c>
      <c r="P24" s="11">
        <f t="shared" si="60"/>
        <v>37714.5</v>
      </c>
      <c r="Q24" s="11">
        <f t="shared" ref="Q24" si="61">SUM(Q25:Q27)</f>
        <v>18457.920000000002</v>
      </c>
      <c r="R24" s="81" t="s">
        <v>8</v>
      </c>
      <c r="S24" s="77"/>
      <c r="T24" s="52">
        <f>SUM(T25:T27)</f>
        <v>2.1399999999999997</v>
      </c>
      <c r="U24" s="11">
        <f>SUM(U25:U27)</f>
        <v>17005.295999999998</v>
      </c>
      <c r="V24" s="11">
        <f t="shared" ref="V24:AB24" si="62">SUM(V25:V27)</f>
        <v>13415.231999999998</v>
      </c>
      <c r="W24" s="11">
        <f t="shared" si="62"/>
        <v>25261.415999999997</v>
      </c>
      <c r="X24" s="11">
        <f t="shared" ref="X24" si="63">SUM(X25:X27)</f>
        <v>10264.295999999998</v>
      </c>
      <c r="Y24" s="11">
        <f t="shared" si="62"/>
        <v>22256.856</v>
      </c>
      <c r="Z24" s="11">
        <f t="shared" si="62"/>
        <v>14791.68</v>
      </c>
      <c r="AA24" s="11">
        <f t="shared" si="62"/>
        <v>15256.487999999999</v>
      </c>
      <c r="AB24" s="11">
        <f t="shared" si="62"/>
        <v>14624.759999999998</v>
      </c>
      <c r="AC24" s="81" t="s">
        <v>8</v>
      </c>
      <c r="AD24" s="77"/>
      <c r="AE24" s="52">
        <f>SUM(AE25:AE27)</f>
        <v>3.49</v>
      </c>
      <c r="AF24" s="11">
        <f>SUM(AF25:AF27)</f>
        <v>19972.572</v>
      </c>
      <c r="AG24" s="11">
        <f t="shared" ref="AG24:AY24" si="64">SUM(AG25:AG27)</f>
        <v>20077.271999999997</v>
      </c>
      <c r="AH24" s="11">
        <f t="shared" si="64"/>
        <v>20692.908000000003</v>
      </c>
      <c r="AI24" s="11">
        <f t="shared" si="64"/>
        <v>24478.86</v>
      </c>
      <c r="AJ24" s="11">
        <f t="shared" si="64"/>
        <v>19968.384000000002</v>
      </c>
      <c r="AK24" s="11">
        <f t="shared" si="64"/>
        <v>25140.563999999998</v>
      </c>
      <c r="AL24" s="11">
        <f t="shared" si="64"/>
        <v>19143.348000000002</v>
      </c>
      <c r="AM24" s="11">
        <f t="shared" si="64"/>
        <v>24763.644</v>
      </c>
      <c r="AN24" s="11">
        <f t="shared" si="64"/>
        <v>12882.288</v>
      </c>
      <c r="AO24" s="11">
        <f t="shared" si="64"/>
        <v>23025.623999999996</v>
      </c>
      <c r="AP24" s="11">
        <f t="shared" si="64"/>
        <v>23088.443999999996</v>
      </c>
      <c r="AQ24" s="11">
        <f t="shared" si="64"/>
        <v>23369.040000000001</v>
      </c>
      <c r="AR24" s="11">
        <f t="shared" si="64"/>
        <v>16295.508000000002</v>
      </c>
      <c r="AS24" s="11">
        <f t="shared" si="64"/>
        <v>7199.1720000000005</v>
      </c>
      <c r="AT24" s="11">
        <f t="shared" si="64"/>
        <v>8003.268</v>
      </c>
      <c r="AU24" s="11">
        <f t="shared" si="64"/>
        <v>7655.6640000000007</v>
      </c>
      <c r="AV24" s="11">
        <f t="shared" si="64"/>
        <v>20508.635999999999</v>
      </c>
      <c r="AW24" s="11">
        <f t="shared" si="64"/>
        <v>14398.344000000001</v>
      </c>
      <c r="AX24" s="11">
        <f t="shared" si="64"/>
        <v>13966.98</v>
      </c>
      <c r="AY24" s="11">
        <f t="shared" si="64"/>
        <v>33889.296000000002</v>
      </c>
      <c r="AZ24" s="101" t="s">
        <v>91</v>
      </c>
      <c r="BA24" s="105" t="s">
        <v>92</v>
      </c>
      <c r="BB24" s="95">
        <f>0.15*12*BB39</f>
        <v>6753.0599999999986</v>
      </c>
      <c r="BC24" s="95">
        <f>0.18*12*BC39</f>
        <v>6357.7440000000006</v>
      </c>
      <c r="BD24" s="95">
        <f>0.18*12*BD39</f>
        <v>6359.9040000000005</v>
      </c>
      <c r="BF24" s="123"/>
    </row>
    <row r="25" spans="1:58" s="1" customFormat="1" ht="36" customHeight="1" x14ac:dyDescent="0.2">
      <c r="A25" s="48" t="s">
        <v>38</v>
      </c>
      <c r="B25" s="58" t="s">
        <v>3</v>
      </c>
      <c r="C25" s="47">
        <v>1.1299999999999999</v>
      </c>
      <c r="D25" s="10">
        <f>$C$25*12*D39</f>
        <v>6167.0879999999997</v>
      </c>
      <c r="E25" s="10">
        <f t="shared" ref="E25:H25" si="65">$C$25*12*E39</f>
        <v>7239.6839999999993</v>
      </c>
      <c r="F25" s="10">
        <f t="shared" si="65"/>
        <v>6257.94</v>
      </c>
      <c r="G25" s="10">
        <f t="shared" si="65"/>
        <v>8053.2839999999987</v>
      </c>
      <c r="H25" s="10">
        <f t="shared" si="65"/>
        <v>5602.9919999999993</v>
      </c>
      <c r="I25" s="79" t="s">
        <v>38</v>
      </c>
      <c r="J25" s="47" t="s">
        <v>3</v>
      </c>
      <c r="K25" s="47">
        <v>1.1100000000000001</v>
      </c>
      <c r="L25" s="10">
        <f>$K$25*12*L39</f>
        <v>6910.4159999999993</v>
      </c>
      <c r="M25" s="10">
        <f t="shared" ref="M25:P25" si="66">$K$25*12*M39</f>
        <v>7753.5720000000001</v>
      </c>
      <c r="N25" s="10">
        <f t="shared" si="66"/>
        <v>8832.4920000000002</v>
      </c>
      <c r="O25" s="10">
        <f t="shared" si="66"/>
        <v>7276.7159999999994</v>
      </c>
      <c r="P25" s="10">
        <f t="shared" si="66"/>
        <v>8491.5</v>
      </c>
      <c r="Q25" s="10">
        <f t="shared" ref="Q25" si="67">$K$25*12*Q39</f>
        <v>4155.84</v>
      </c>
      <c r="R25" s="79" t="s">
        <v>38</v>
      </c>
      <c r="S25" s="47" t="s">
        <v>3</v>
      </c>
      <c r="T25" s="47">
        <v>1.1299999999999999</v>
      </c>
      <c r="U25" s="10">
        <f>$T$25*12*U39</f>
        <v>8979.4319999999989</v>
      </c>
      <c r="V25" s="10">
        <f t="shared" ref="V25:AB25" si="68">$T$25*12*V39</f>
        <v>7083.7439999999988</v>
      </c>
      <c r="W25" s="10">
        <f t="shared" si="68"/>
        <v>13338.972</v>
      </c>
      <c r="X25" s="10">
        <f t="shared" ref="X25" si="69">$T$25*12*X39</f>
        <v>5419.9319999999998</v>
      </c>
      <c r="Y25" s="10">
        <f t="shared" si="68"/>
        <v>11752.451999999999</v>
      </c>
      <c r="Z25" s="10">
        <f t="shared" si="68"/>
        <v>7810.5599999999995</v>
      </c>
      <c r="AA25" s="10">
        <f t="shared" si="68"/>
        <v>8055.9959999999992</v>
      </c>
      <c r="AB25" s="10">
        <f t="shared" si="68"/>
        <v>7722.4199999999992</v>
      </c>
      <c r="AC25" s="79" t="s">
        <v>38</v>
      </c>
      <c r="AD25" s="47" t="s">
        <v>3</v>
      </c>
      <c r="AE25" s="47">
        <v>1.1100000000000001</v>
      </c>
      <c r="AF25" s="10">
        <f>$AE$25*12*AF39</f>
        <v>6352.308</v>
      </c>
      <c r="AG25" s="10">
        <f t="shared" ref="AG25:AY25" si="70">$AE$25*12*AG39</f>
        <v>6385.6080000000002</v>
      </c>
      <c r="AH25" s="10">
        <f t="shared" si="70"/>
        <v>6581.4120000000003</v>
      </c>
      <c r="AI25" s="10">
        <f t="shared" si="70"/>
        <v>7785.54</v>
      </c>
      <c r="AJ25" s="10">
        <f t="shared" si="70"/>
        <v>6350.9760000000006</v>
      </c>
      <c r="AK25" s="10">
        <f t="shared" si="70"/>
        <v>7995.9959999999992</v>
      </c>
      <c r="AL25" s="10">
        <f t="shared" si="70"/>
        <v>6088.5720000000001</v>
      </c>
      <c r="AM25" s="10">
        <f t="shared" si="70"/>
        <v>7876.116</v>
      </c>
      <c r="AN25" s="10">
        <f t="shared" si="70"/>
        <v>4097.232</v>
      </c>
      <c r="AO25" s="10">
        <f t="shared" si="70"/>
        <v>7323.3359999999993</v>
      </c>
      <c r="AP25" s="10">
        <f t="shared" si="70"/>
        <v>7343.3159999999998</v>
      </c>
      <c r="AQ25" s="10">
        <f t="shared" si="70"/>
        <v>7432.56</v>
      </c>
      <c r="AR25" s="10">
        <f t="shared" si="70"/>
        <v>5182.8120000000008</v>
      </c>
      <c r="AS25" s="10">
        <f t="shared" si="70"/>
        <v>2289.7080000000001</v>
      </c>
      <c r="AT25" s="10">
        <f t="shared" si="70"/>
        <v>2545.4519999999998</v>
      </c>
      <c r="AU25" s="10">
        <f t="shared" si="70"/>
        <v>2434.8960000000002</v>
      </c>
      <c r="AV25" s="10">
        <f t="shared" si="70"/>
        <v>6522.8040000000001</v>
      </c>
      <c r="AW25" s="10">
        <f t="shared" si="70"/>
        <v>4579.4160000000002</v>
      </c>
      <c r="AX25" s="10">
        <f t="shared" si="70"/>
        <v>4442.22</v>
      </c>
      <c r="AY25" s="10">
        <f t="shared" si="70"/>
        <v>10778.544000000002</v>
      </c>
      <c r="AZ25" s="101" t="s">
        <v>93</v>
      </c>
      <c r="BA25" s="102" t="s">
        <v>94</v>
      </c>
      <c r="BB25" s="92">
        <f>0.58*12*BB39</f>
        <v>26111.831999999995</v>
      </c>
      <c r="BC25" s="95">
        <f>0.56*12*BC39</f>
        <v>19779.648000000001</v>
      </c>
      <c r="BD25" s="95">
        <f>0.56*12*BD39</f>
        <v>19786.368000000002</v>
      </c>
      <c r="BF25" s="123"/>
    </row>
    <row r="26" spans="1:58" s="1" customFormat="1" ht="71.25" customHeight="1" x14ac:dyDescent="0.2">
      <c r="A26" s="48" t="s">
        <v>39</v>
      </c>
      <c r="B26" s="58" t="s">
        <v>7</v>
      </c>
      <c r="C26" s="47">
        <v>0.16</v>
      </c>
      <c r="D26" s="10">
        <f>$C$26*12*D39</f>
        <v>873.21600000000001</v>
      </c>
      <c r="E26" s="10">
        <f t="shared" ref="E26:H26" si="71">$C$26*12*E39</f>
        <v>1025.088</v>
      </c>
      <c r="F26" s="10">
        <f t="shared" si="71"/>
        <v>886.07999999999993</v>
      </c>
      <c r="G26" s="10">
        <f t="shared" si="71"/>
        <v>1140.288</v>
      </c>
      <c r="H26" s="10">
        <f t="shared" si="71"/>
        <v>793.34399999999994</v>
      </c>
      <c r="I26" s="79" t="s">
        <v>39</v>
      </c>
      <c r="J26" s="83" t="s">
        <v>7</v>
      </c>
      <c r="K26" s="47">
        <v>0.13</v>
      </c>
      <c r="L26" s="10">
        <f>$K$26*12*L39</f>
        <v>809.32799999999997</v>
      </c>
      <c r="M26" s="10">
        <f t="shared" ref="M26:P26" si="72">$K$26*12*M39</f>
        <v>908.07600000000002</v>
      </c>
      <c r="N26" s="10">
        <f t="shared" si="72"/>
        <v>1034.4360000000001</v>
      </c>
      <c r="O26" s="10">
        <f t="shared" si="72"/>
        <v>852.22799999999995</v>
      </c>
      <c r="P26" s="10">
        <f t="shared" si="72"/>
        <v>994.5</v>
      </c>
      <c r="Q26" s="10">
        <f t="shared" ref="Q26" si="73">$K$26*12*Q39</f>
        <v>486.72</v>
      </c>
      <c r="R26" s="79" t="s">
        <v>39</v>
      </c>
      <c r="S26" s="83" t="s">
        <v>7</v>
      </c>
      <c r="T26" s="47">
        <v>0.16</v>
      </c>
      <c r="U26" s="10">
        <f>$T$26*12*U39</f>
        <v>1271.424</v>
      </c>
      <c r="V26" s="10">
        <f t="shared" ref="V26:AB26" si="74">$T$26*12*V39</f>
        <v>1003.0079999999999</v>
      </c>
      <c r="W26" s="10">
        <f t="shared" si="74"/>
        <v>1888.704</v>
      </c>
      <c r="X26" s="10">
        <f t="shared" ref="X26" si="75">$T$26*12*X39</f>
        <v>767.42399999999998</v>
      </c>
      <c r="Y26" s="10">
        <f t="shared" si="74"/>
        <v>1664.0640000000001</v>
      </c>
      <c r="Z26" s="10">
        <f t="shared" si="74"/>
        <v>1105.92</v>
      </c>
      <c r="AA26" s="10">
        <f t="shared" si="74"/>
        <v>1140.672</v>
      </c>
      <c r="AB26" s="10">
        <f t="shared" si="74"/>
        <v>1093.44</v>
      </c>
      <c r="AC26" s="79" t="s">
        <v>39</v>
      </c>
      <c r="AD26" s="83" t="s">
        <v>7</v>
      </c>
      <c r="AE26" s="47">
        <v>0.13</v>
      </c>
      <c r="AF26" s="10">
        <f>$AE$26*12*AF39</f>
        <v>743.96399999999994</v>
      </c>
      <c r="AG26" s="10">
        <f t="shared" ref="AG26:AY26" si="76">$AE$26*12*AG39</f>
        <v>747.86400000000003</v>
      </c>
      <c r="AH26" s="10">
        <f t="shared" si="76"/>
        <v>770.79600000000005</v>
      </c>
      <c r="AI26" s="10">
        <f t="shared" si="76"/>
        <v>911.82</v>
      </c>
      <c r="AJ26" s="10">
        <f t="shared" si="76"/>
        <v>743.80799999999999</v>
      </c>
      <c r="AK26" s="10">
        <f t="shared" si="76"/>
        <v>936.46799999999996</v>
      </c>
      <c r="AL26" s="10">
        <f t="shared" si="76"/>
        <v>713.07600000000002</v>
      </c>
      <c r="AM26" s="10">
        <f t="shared" si="76"/>
        <v>922.428</v>
      </c>
      <c r="AN26" s="10">
        <f t="shared" si="76"/>
        <v>479.85600000000005</v>
      </c>
      <c r="AO26" s="10">
        <f t="shared" si="76"/>
        <v>857.68799999999999</v>
      </c>
      <c r="AP26" s="10">
        <f t="shared" si="76"/>
        <v>860.02799999999991</v>
      </c>
      <c r="AQ26" s="10">
        <f t="shared" si="76"/>
        <v>870.48</v>
      </c>
      <c r="AR26" s="10">
        <f t="shared" si="76"/>
        <v>606.99600000000009</v>
      </c>
      <c r="AS26" s="10">
        <f t="shared" si="76"/>
        <v>268.16400000000004</v>
      </c>
      <c r="AT26" s="10">
        <f t="shared" si="76"/>
        <v>298.11599999999999</v>
      </c>
      <c r="AU26" s="10">
        <f t="shared" si="76"/>
        <v>285.16800000000001</v>
      </c>
      <c r="AV26" s="10">
        <f t="shared" si="76"/>
        <v>763.93200000000002</v>
      </c>
      <c r="AW26" s="10">
        <f t="shared" si="76"/>
        <v>536.32800000000009</v>
      </c>
      <c r="AX26" s="10">
        <f t="shared" si="76"/>
        <v>520.26</v>
      </c>
      <c r="AY26" s="10">
        <f t="shared" si="76"/>
        <v>1262.3520000000001</v>
      </c>
      <c r="AZ26" s="106" t="s">
        <v>95</v>
      </c>
      <c r="BA26" s="104" t="s">
        <v>96</v>
      </c>
      <c r="BB26" s="92">
        <f>0.07*12*BB39</f>
        <v>3151.4280000000003</v>
      </c>
      <c r="BC26" s="95">
        <f>0.03*12*BC39</f>
        <v>1059.624</v>
      </c>
      <c r="BD26" s="95">
        <f>0.03*12*BD39</f>
        <v>1059.9839999999999</v>
      </c>
      <c r="BF26" s="123"/>
    </row>
    <row r="27" spans="1:58" s="1" customFormat="1" ht="112.5" customHeight="1" x14ac:dyDescent="0.2">
      <c r="A27" s="48" t="s">
        <v>40</v>
      </c>
      <c r="B27" s="58" t="s">
        <v>6</v>
      </c>
      <c r="C27" s="47">
        <v>0.85</v>
      </c>
      <c r="D27" s="10">
        <f>$C$27*12*D39</f>
        <v>4638.96</v>
      </c>
      <c r="E27" s="10">
        <f t="shared" ref="E27:H27" si="77">$C$27*12*E39</f>
        <v>5445.78</v>
      </c>
      <c r="F27" s="10">
        <f t="shared" si="77"/>
        <v>4707.2999999999993</v>
      </c>
      <c r="G27" s="10">
        <f t="shared" si="77"/>
        <v>6057.78</v>
      </c>
      <c r="H27" s="10">
        <f t="shared" si="77"/>
        <v>4214.6399999999994</v>
      </c>
      <c r="I27" s="79" t="s">
        <v>63</v>
      </c>
      <c r="J27" s="47" t="s">
        <v>6</v>
      </c>
      <c r="K27" s="47">
        <v>3.69</v>
      </c>
      <c r="L27" s="10">
        <f>$K$27*12*L39</f>
        <v>22972.464</v>
      </c>
      <c r="M27" s="10">
        <f t="shared" ref="M27:P27" si="78">$K$27*12*M39</f>
        <v>25775.388000000003</v>
      </c>
      <c r="N27" s="10">
        <f t="shared" si="78"/>
        <v>29362.068000000003</v>
      </c>
      <c r="O27" s="10">
        <f t="shared" si="78"/>
        <v>24190.163999999997</v>
      </c>
      <c r="P27" s="10">
        <f t="shared" si="78"/>
        <v>28228.5</v>
      </c>
      <c r="Q27" s="10">
        <f t="shared" ref="Q27" si="79">$K$27*12*Q39</f>
        <v>13815.36</v>
      </c>
      <c r="R27" s="79" t="s">
        <v>40</v>
      </c>
      <c r="S27" s="47" t="s">
        <v>6</v>
      </c>
      <c r="T27" s="47">
        <v>0.85</v>
      </c>
      <c r="U27" s="10">
        <f>$T$27*12*U39</f>
        <v>6754.44</v>
      </c>
      <c r="V27" s="10">
        <f t="shared" ref="V27:AB27" si="80">$T$27*12*V39</f>
        <v>5328.48</v>
      </c>
      <c r="W27" s="10">
        <f t="shared" si="80"/>
        <v>10033.74</v>
      </c>
      <c r="X27" s="10">
        <f t="shared" ref="X27" si="81">$T$27*12*X39</f>
        <v>4076.9399999999996</v>
      </c>
      <c r="Y27" s="10">
        <f t="shared" si="80"/>
        <v>8840.34</v>
      </c>
      <c r="Z27" s="10">
        <f t="shared" si="80"/>
        <v>5875.2</v>
      </c>
      <c r="AA27" s="10">
        <f t="shared" si="80"/>
        <v>6059.82</v>
      </c>
      <c r="AB27" s="10">
        <f t="shared" si="80"/>
        <v>5808.9</v>
      </c>
      <c r="AC27" s="79" t="s">
        <v>63</v>
      </c>
      <c r="AD27" s="47" t="s">
        <v>6</v>
      </c>
      <c r="AE27" s="47">
        <v>2.25</v>
      </c>
      <c r="AF27" s="10">
        <f>$AE$27*12*AF39</f>
        <v>12876.3</v>
      </c>
      <c r="AG27" s="10">
        <f t="shared" ref="AG27:AY27" si="82">$AE$27*12*AG39</f>
        <v>12943.8</v>
      </c>
      <c r="AH27" s="10">
        <f t="shared" si="82"/>
        <v>13340.7</v>
      </c>
      <c r="AI27" s="10">
        <f t="shared" si="82"/>
        <v>15781.5</v>
      </c>
      <c r="AJ27" s="10">
        <f t="shared" si="82"/>
        <v>12873.6</v>
      </c>
      <c r="AK27" s="10">
        <f t="shared" si="82"/>
        <v>16208.099999999999</v>
      </c>
      <c r="AL27" s="10">
        <f t="shared" si="82"/>
        <v>12341.7</v>
      </c>
      <c r="AM27" s="10">
        <f t="shared" si="82"/>
        <v>15965.099999999999</v>
      </c>
      <c r="AN27" s="10">
        <f t="shared" si="82"/>
        <v>8305.2000000000007</v>
      </c>
      <c r="AO27" s="10">
        <f t="shared" si="82"/>
        <v>14844.599999999999</v>
      </c>
      <c r="AP27" s="10">
        <f t="shared" si="82"/>
        <v>14885.099999999999</v>
      </c>
      <c r="AQ27" s="10">
        <f t="shared" si="82"/>
        <v>15066</v>
      </c>
      <c r="AR27" s="10">
        <f t="shared" si="82"/>
        <v>10505.7</v>
      </c>
      <c r="AS27" s="10">
        <f t="shared" si="82"/>
        <v>4641.3</v>
      </c>
      <c r="AT27" s="10">
        <f t="shared" si="82"/>
        <v>5159.7</v>
      </c>
      <c r="AU27" s="10">
        <f t="shared" si="82"/>
        <v>4935.6000000000004</v>
      </c>
      <c r="AV27" s="10">
        <f t="shared" si="82"/>
        <v>13221.9</v>
      </c>
      <c r="AW27" s="10">
        <f t="shared" si="82"/>
        <v>9282.6</v>
      </c>
      <c r="AX27" s="10">
        <f t="shared" si="82"/>
        <v>9004.5</v>
      </c>
      <c r="AY27" s="10">
        <f t="shared" si="82"/>
        <v>21848.400000000001</v>
      </c>
      <c r="AZ27" s="101" t="s">
        <v>97</v>
      </c>
      <c r="BA27" s="102" t="s">
        <v>6</v>
      </c>
      <c r="BB27" s="92">
        <f>3.14*12*BB39</f>
        <v>141364.05599999998</v>
      </c>
      <c r="BC27" s="95">
        <f>2.77*12*BC39</f>
        <v>97838.616000000009</v>
      </c>
      <c r="BD27" s="95">
        <f>2.77*12*BD39</f>
        <v>97871.856000000014</v>
      </c>
      <c r="BF27" s="123"/>
    </row>
    <row r="28" spans="1:58" s="1" customFormat="1" ht="24.75" customHeight="1" x14ac:dyDescent="0.2">
      <c r="A28" s="49" t="s">
        <v>5</v>
      </c>
      <c r="B28" s="58"/>
      <c r="C28" s="52">
        <f>SUM(C29:C33)</f>
        <v>10.93</v>
      </c>
      <c r="D28" s="32">
        <f>SUM(D29:D33)</f>
        <v>59651.567999999999</v>
      </c>
      <c r="E28" s="32">
        <f t="shared" ref="E28:H28" si="83">SUM(E29:E33)</f>
        <v>70026.323999999993</v>
      </c>
      <c r="F28" s="32">
        <f t="shared" si="83"/>
        <v>60530.34</v>
      </c>
      <c r="G28" s="32">
        <f t="shared" si="83"/>
        <v>77895.923999999985</v>
      </c>
      <c r="H28" s="32">
        <f t="shared" si="83"/>
        <v>54195.311999999998</v>
      </c>
      <c r="I28" s="76" t="s">
        <v>5</v>
      </c>
      <c r="J28" s="77"/>
      <c r="K28" s="52">
        <f>SUM(K29:K33)</f>
        <v>6.4999999999999991</v>
      </c>
      <c r="L28" s="32">
        <f>SUM(L29:L33)</f>
        <v>40466.399999999994</v>
      </c>
      <c r="M28" s="32">
        <f t="shared" ref="M28:P28" si="84">SUM(M29:M33)</f>
        <v>45403.80000000001</v>
      </c>
      <c r="N28" s="32">
        <f t="shared" si="84"/>
        <v>51721.799999999996</v>
      </c>
      <c r="O28" s="32">
        <f t="shared" si="84"/>
        <v>42611.4</v>
      </c>
      <c r="P28" s="32">
        <f t="shared" si="84"/>
        <v>49725</v>
      </c>
      <c r="Q28" s="32">
        <f t="shared" ref="Q28" si="85">SUM(Q29:Q33)</f>
        <v>24336.000000000004</v>
      </c>
      <c r="R28" s="76" t="s">
        <v>5</v>
      </c>
      <c r="S28" s="77"/>
      <c r="T28" s="52">
        <f>SUM(T29:T33)</f>
        <v>7.24</v>
      </c>
      <c r="U28" s="32">
        <f>SUM(U29:U33)</f>
        <v>57531.936000000002</v>
      </c>
      <c r="V28" s="32">
        <f t="shared" ref="V28:AB28" si="86">SUM(V29:V33)</f>
        <v>45386.111999999994</v>
      </c>
      <c r="W28" s="32">
        <f t="shared" si="86"/>
        <v>85463.856</v>
      </c>
      <c r="X28" s="32">
        <f t="shared" ref="X28" si="87">SUM(X29:X33)</f>
        <v>34725.935999999994</v>
      </c>
      <c r="Y28" s="32">
        <f t="shared" si="86"/>
        <v>75298.895999999993</v>
      </c>
      <c r="Z28" s="32">
        <f t="shared" si="86"/>
        <v>50042.879999999997</v>
      </c>
      <c r="AA28" s="32">
        <f t="shared" si="86"/>
        <v>51615.407999999996</v>
      </c>
      <c r="AB28" s="32">
        <f t="shared" si="86"/>
        <v>49478.159999999996</v>
      </c>
      <c r="AC28" s="76" t="s">
        <v>5</v>
      </c>
      <c r="AD28" s="77"/>
      <c r="AE28" s="52">
        <f>SUM(AE29:AE33)</f>
        <v>4.62</v>
      </c>
      <c r="AF28" s="32">
        <f>SUM(AF29:AF33)</f>
        <v>26439.336000000003</v>
      </c>
      <c r="AG28" s="32">
        <f t="shared" ref="AG28:AY28" si="88">SUM(AG29:AG33)</f>
        <v>26577.936000000002</v>
      </c>
      <c r="AH28" s="32">
        <f t="shared" si="88"/>
        <v>27392.904000000002</v>
      </c>
      <c r="AI28" s="32">
        <f t="shared" si="88"/>
        <v>32404.68</v>
      </c>
      <c r="AJ28" s="32">
        <f t="shared" si="88"/>
        <v>26433.792000000001</v>
      </c>
      <c r="AK28" s="32">
        <f t="shared" si="88"/>
        <v>33280.631999999998</v>
      </c>
      <c r="AL28" s="32">
        <f t="shared" si="88"/>
        <v>25341.624</v>
      </c>
      <c r="AM28" s="32">
        <f t="shared" si="88"/>
        <v>32781.671999999999</v>
      </c>
      <c r="AN28" s="32">
        <f t="shared" si="88"/>
        <v>17053.344000000001</v>
      </c>
      <c r="AO28" s="32">
        <f t="shared" si="88"/>
        <v>30480.911999999997</v>
      </c>
      <c r="AP28" s="32">
        <f t="shared" si="88"/>
        <v>30564.072</v>
      </c>
      <c r="AQ28" s="32">
        <f t="shared" si="88"/>
        <v>30935.52</v>
      </c>
      <c r="AR28" s="32">
        <f t="shared" si="88"/>
        <v>21571.704000000002</v>
      </c>
      <c r="AS28" s="32">
        <f t="shared" si="88"/>
        <v>9530.1360000000004</v>
      </c>
      <c r="AT28" s="32">
        <f t="shared" si="88"/>
        <v>10594.584000000001</v>
      </c>
      <c r="AU28" s="32">
        <f t="shared" si="88"/>
        <v>10134.432000000001</v>
      </c>
      <c r="AV28" s="32">
        <f t="shared" si="88"/>
        <v>27148.968000000001</v>
      </c>
      <c r="AW28" s="32">
        <f t="shared" si="88"/>
        <v>19060.272000000001</v>
      </c>
      <c r="AX28" s="32">
        <f t="shared" si="88"/>
        <v>18489.240000000002</v>
      </c>
      <c r="AY28" s="32">
        <f t="shared" si="88"/>
        <v>44862.047999999995</v>
      </c>
      <c r="AZ28" s="99" t="s">
        <v>5</v>
      </c>
      <c r="BA28" s="103"/>
      <c r="BB28" s="91">
        <f>SUM(BB29:BB30)</f>
        <v>160722.82799999998</v>
      </c>
      <c r="BC28" s="91">
        <f>SUM(BC29:BC30)</f>
        <v>166360.96799999999</v>
      </c>
      <c r="BD28" s="91">
        <f>SUM(BD29:BD30)</f>
        <v>166417.48800000001</v>
      </c>
      <c r="BF28" s="123"/>
    </row>
    <row r="29" spans="1:58" s="42" customFormat="1" ht="105" customHeight="1" x14ac:dyDescent="0.2">
      <c r="A29" s="48" t="s">
        <v>41</v>
      </c>
      <c r="B29" s="58" t="s">
        <v>23</v>
      </c>
      <c r="C29" s="62">
        <v>6.6</v>
      </c>
      <c r="D29" s="41">
        <f>$C$29*12*D39</f>
        <v>36020.159999999996</v>
      </c>
      <c r="E29" s="41">
        <f t="shared" ref="E29:H29" si="89">$C$29*12*E39</f>
        <v>42284.87999999999</v>
      </c>
      <c r="F29" s="41">
        <f t="shared" si="89"/>
        <v>36550.799999999996</v>
      </c>
      <c r="G29" s="41">
        <f t="shared" si="89"/>
        <v>47036.87999999999</v>
      </c>
      <c r="H29" s="41">
        <f t="shared" si="89"/>
        <v>32725.439999999995</v>
      </c>
      <c r="I29" s="79" t="s">
        <v>64</v>
      </c>
      <c r="J29" s="83" t="s">
        <v>65</v>
      </c>
      <c r="K29" s="47">
        <f>2.52</f>
        <v>2.52</v>
      </c>
      <c r="L29" s="41">
        <f>$K$29*12*L39</f>
        <v>15688.511999999999</v>
      </c>
      <c r="M29" s="41">
        <f t="shared" ref="M29:P29" si="90">$K$29*12*M39</f>
        <v>17602.704000000002</v>
      </c>
      <c r="N29" s="41">
        <f t="shared" si="90"/>
        <v>20052.144</v>
      </c>
      <c r="O29" s="41">
        <f t="shared" si="90"/>
        <v>16520.112000000001</v>
      </c>
      <c r="P29" s="41">
        <f t="shared" si="90"/>
        <v>19278</v>
      </c>
      <c r="Q29" s="41">
        <f t="shared" ref="Q29" si="91">$K$29*12*Q39</f>
        <v>9434.880000000001</v>
      </c>
      <c r="R29" s="79" t="s">
        <v>41</v>
      </c>
      <c r="S29" s="83" t="s">
        <v>23</v>
      </c>
      <c r="T29" s="47">
        <v>4.5999999999999996</v>
      </c>
      <c r="U29" s="41">
        <f>$T$29*12*U39</f>
        <v>36553.440000000002</v>
      </c>
      <c r="V29" s="41">
        <f t="shared" ref="V29:AB29" si="92">$T$29*12*V39</f>
        <v>28836.479999999996</v>
      </c>
      <c r="W29" s="41">
        <f t="shared" si="92"/>
        <v>54300.24</v>
      </c>
      <c r="X29" s="41">
        <f t="shared" ref="X29" si="93">$T$29*12*X39</f>
        <v>22063.439999999999</v>
      </c>
      <c r="Y29" s="41">
        <f t="shared" si="92"/>
        <v>47841.84</v>
      </c>
      <c r="Z29" s="41">
        <f t="shared" si="92"/>
        <v>31795.199999999997</v>
      </c>
      <c r="AA29" s="41">
        <f t="shared" si="92"/>
        <v>32794.32</v>
      </c>
      <c r="AB29" s="41">
        <f t="shared" si="92"/>
        <v>31436.399999999998</v>
      </c>
      <c r="AC29" s="79" t="s">
        <v>64</v>
      </c>
      <c r="AD29" s="83" t="s">
        <v>65</v>
      </c>
      <c r="AE29" s="47">
        <f>1.87</f>
        <v>1.87</v>
      </c>
      <c r="AF29" s="41">
        <f>$AE$29*12*AF39</f>
        <v>10701.636</v>
      </c>
      <c r="AG29" s="41">
        <f t="shared" ref="AG29:AY29" si="94">$AE$29*12*AG39</f>
        <v>10757.736000000001</v>
      </c>
      <c r="AH29" s="41">
        <f t="shared" si="94"/>
        <v>11087.604000000001</v>
      </c>
      <c r="AI29" s="41">
        <f t="shared" si="94"/>
        <v>13116.18</v>
      </c>
      <c r="AJ29" s="41">
        <f t="shared" si="94"/>
        <v>10699.392000000002</v>
      </c>
      <c r="AK29" s="41">
        <f t="shared" si="94"/>
        <v>13470.732</v>
      </c>
      <c r="AL29" s="41">
        <f t="shared" si="94"/>
        <v>10257.324000000001</v>
      </c>
      <c r="AM29" s="41">
        <f t="shared" si="94"/>
        <v>13268.771999999999</v>
      </c>
      <c r="AN29" s="41">
        <f t="shared" si="94"/>
        <v>6902.5440000000008</v>
      </c>
      <c r="AO29" s="41">
        <f t="shared" si="94"/>
        <v>12337.511999999999</v>
      </c>
      <c r="AP29" s="41">
        <f t="shared" si="94"/>
        <v>12371.172</v>
      </c>
      <c r="AQ29" s="41">
        <f t="shared" si="94"/>
        <v>12521.52</v>
      </c>
      <c r="AR29" s="41">
        <f t="shared" si="94"/>
        <v>8731.4040000000005</v>
      </c>
      <c r="AS29" s="41">
        <f t="shared" si="94"/>
        <v>3857.4360000000001</v>
      </c>
      <c r="AT29" s="41">
        <f t="shared" si="94"/>
        <v>4288.2840000000006</v>
      </c>
      <c r="AU29" s="41">
        <f t="shared" si="94"/>
        <v>4102.0320000000002</v>
      </c>
      <c r="AV29" s="41">
        <f t="shared" si="94"/>
        <v>10988.868</v>
      </c>
      <c r="AW29" s="41">
        <f t="shared" si="94"/>
        <v>7714.8720000000003</v>
      </c>
      <c r="AX29" s="41">
        <f t="shared" si="94"/>
        <v>7483.7400000000007</v>
      </c>
      <c r="AY29" s="41">
        <f t="shared" si="94"/>
        <v>18158.448</v>
      </c>
      <c r="AZ29" s="101" t="s">
        <v>98</v>
      </c>
      <c r="BA29" s="104" t="s">
        <v>99</v>
      </c>
      <c r="BB29" s="95">
        <f>2.21*12*BB39</f>
        <v>99495.083999999988</v>
      </c>
      <c r="BC29" s="95">
        <f>2.97*12*BC39</f>
        <v>104902.776</v>
      </c>
      <c r="BD29" s="95">
        <f>2.97*12*BD39</f>
        <v>104938.41600000001</v>
      </c>
      <c r="BF29" s="127"/>
    </row>
    <row r="30" spans="1:58" s="1" customFormat="1" ht="63.75" customHeight="1" x14ac:dyDescent="0.2">
      <c r="A30" s="48" t="s">
        <v>42</v>
      </c>
      <c r="B30" s="58" t="s">
        <v>4</v>
      </c>
      <c r="C30" s="47">
        <v>1.37</v>
      </c>
      <c r="D30" s="41">
        <f>$C$30*12*D39</f>
        <v>7476.9120000000012</v>
      </c>
      <c r="E30" s="41">
        <f t="shared" ref="E30:H30" si="95">$C$30*12*E39</f>
        <v>8777.3160000000007</v>
      </c>
      <c r="F30" s="41">
        <f t="shared" si="95"/>
        <v>7587.06</v>
      </c>
      <c r="G30" s="41">
        <f t="shared" si="95"/>
        <v>9763.7160000000003</v>
      </c>
      <c r="H30" s="41">
        <f t="shared" si="95"/>
        <v>6793.0080000000007</v>
      </c>
      <c r="I30" s="78" t="s">
        <v>42</v>
      </c>
      <c r="J30" s="83" t="s">
        <v>66</v>
      </c>
      <c r="K30" s="47">
        <v>1.34</v>
      </c>
      <c r="L30" s="41">
        <f>$K$30*12*L39</f>
        <v>8342.3040000000001</v>
      </c>
      <c r="M30" s="41">
        <f t="shared" ref="M30:P30" si="96">$K$30*12*M39</f>
        <v>9360.1680000000015</v>
      </c>
      <c r="N30" s="41">
        <f t="shared" si="96"/>
        <v>10662.648000000001</v>
      </c>
      <c r="O30" s="41">
        <f t="shared" si="96"/>
        <v>8784.5040000000008</v>
      </c>
      <c r="P30" s="41">
        <f t="shared" si="96"/>
        <v>10251.000000000002</v>
      </c>
      <c r="Q30" s="41">
        <f t="shared" ref="Q30" si="97">$K$30*12*Q39</f>
        <v>5016.9600000000009</v>
      </c>
      <c r="R30" s="78" t="s">
        <v>42</v>
      </c>
      <c r="S30" s="83" t="s">
        <v>4</v>
      </c>
      <c r="T30" s="47">
        <v>1.37</v>
      </c>
      <c r="U30" s="41">
        <f>$T$30*12*U39</f>
        <v>10886.568000000001</v>
      </c>
      <c r="V30" s="41">
        <f t="shared" ref="V30:AB30" si="98">$T$30*12*V39</f>
        <v>8588.2559999999994</v>
      </c>
      <c r="W30" s="41">
        <f t="shared" si="98"/>
        <v>16172.028000000002</v>
      </c>
      <c r="X30" s="41">
        <f t="shared" ref="X30" si="99">$T$30*12*X39</f>
        <v>6571.0680000000002</v>
      </c>
      <c r="Y30" s="41">
        <f t="shared" si="98"/>
        <v>14248.548000000003</v>
      </c>
      <c r="Z30" s="41">
        <f t="shared" si="98"/>
        <v>9469.44</v>
      </c>
      <c r="AA30" s="41">
        <f t="shared" si="98"/>
        <v>9767.0040000000008</v>
      </c>
      <c r="AB30" s="41">
        <f t="shared" si="98"/>
        <v>9362.58</v>
      </c>
      <c r="AC30" s="78" t="s">
        <v>42</v>
      </c>
      <c r="AD30" s="83" t="s">
        <v>66</v>
      </c>
      <c r="AE30" s="47">
        <v>1.34</v>
      </c>
      <c r="AF30" s="41">
        <f>$AE$30*12*AF39</f>
        <v>7668.5520000000006</v>
      </c>
      <c r="AG30" s="41">
        <f t="shared" ref="AG30:AY30" si="100">$AE$30*12*AG39</f>
        <v>7708.7520000000004</v>
      </c>
      <c r="AH30" s="41">
        <f t="shared" si="100"/>
        <v>7945.1280000000015</v>
      </c>
      <c r="AI30" s="41">
        <f t="shared" si="100"/>
        <v>9398.76</v>
      </c>
      <c r="AJ30" s="41">
        <f t="shared" si="100"/>
        <v>7666.9440000000013</v>
      </c>
      <c r="AK30" s="41">
        <f t="shared" si="100"/>
        <v>9652.8240000000005</v>
      </c>
      <c r="AL30" s="41">
        <f t="shared" si="100"/>
        <v>7350.1680000000015</v>
      </c>
      <c r="AM30" s="41">
        <f t="shared" si="100"/>
        <v>9508.1040000000012</v>
      </c>
      <c r="AN30" s="41">
        <f t="shared" si="100"/>
        <v>4946.2080000000005</v>
      </c>
      <c r="AO30" s="41">
        <f t="shared" si="100"/>
        <v>8840.7839999999997</v>
      </c>
      <c r="AP30" s="41">
        <f t="shared" si="100"/>
        <v>8864.9040000000005</v>
      </c>
      <c r="AQ30" s="41">
        <f t="shared" si="100"/>
        <v>8972.6400000000012</v>
      </c>
      <c r="AR30" s="41">
        <f t="shared" si="100"/>
        <v>6256.728000000001</v>
      </c>
      <c r="AS30" s="41">
        <f t="shared" si="100"/>
        <v>2764.1520000000005</v>
      </c>
      <c r="AT30" s="41">
        <f t="shared" si="100"/>
        <v>3072.8880000000004</v>
      </c>
      <c r="AU30" s="41">
        <f t="shared" si="100"/>
        <v>2939.4240000000004</v>
      </c>
      <c r="AV30" s="41">
        <f t="shared" si="100"/>
        <v>7874.3760000000011</v>
      </c>
      <c r="AW30" s="41">
        <f t="shared" si="100"/>
        <v>5528.304000000001</v>
      </c>
      <c r="AX30" s="41">
        <f t="shared" si="100"/>
        <v>5362.68</v>
      </c>
      <c r="AY30" s="41">
        <f t="shared" si="100"/>
        <v>13011.936000000002</v>
      </c>
      <c r="AZ30" s="101" t="s">
        <v>100</v>
      </c>
      <c r="BA30" s="104" t="s">
        <v>101</v>
      </c>
      <c r="BB30" s="92">
        <f>1.36*12*BB39</f>
        <v>61227.743999999999</v>
      </c>
      <c r="BC30" s="95">
        <f>1.74*12*BC39</f>
        <v>61458.191999999995</v>
      </c>
      <c r="BD30" s="95">
        <f>1.74*12*BD39</f>
        <v>61479.072</v>
      </c>
      <c r="BF30" s="123"/>
    </row>
    <row r="31" spans="1:58" s="1" customFormat="1" ht="40.5" customHeight="1" x14ac:dyDescent="0.2">
      <c r="A31" s="48" t="s">
        <v>43</v>
      </c>
      <c r="B31" s="58" t="s">
        <v>24</v>
      </c>
      <c r="C31" s="47">
        <v>1.69</v>
      </c>
      <c r="D31" s="41">
        <f>$C$31*12*D39</f>
        <v>9223.344000000001</v>
      </c>
      <c r="E31" s="41">
        <f t="shared" ref="E31:H31" si="101">$C$31*12*E39</f>
        <v>10827.492</v>
      </c>
      <c r="F31" s="41">
        <f t="shared" si="101"/>
        <v>9359.2200000000012</v>
      </c>
      <c r="G31" s="41">
        <f t="shared" si="101"/>
        <v>12044.291999999999</v>
      </c>
      <c r="H31" s="41">
        <f t="shared" si="101"/>
        <v>8379.6959999999999</v>
      </c>
      <c r="I31" s="78" t="s">
        <v>43</v>
      </c>
      <c r="J31" s="84" t="s">
        <v>24</v>
      </c>
      <c r="K31" s="47">
        <v>1.23</v>
      </c>
      <c r="L31" s="41">
        <f>$K$31*12*L39</f>
        <v>7657.4879999999994</v>
      </c>
      <c r="M31" s="41">
        <f t="shared" ref="M31:P31" si="102">$K$31*12*M39</f>
        <v>8591.7960000000003</v>
      </c>
      <c r="N31" s="41">
        <f t="shared" si="102"/>
        <v>9787.3559999999998</v>
      </c>
      <c r="O31" s="41">
        <f t="shared" si="102"/>
        <v>8063.387999999999</v>
      </c>
      <c r="P31" s="41">
        <f t="shared" si="102"/>
        <v>9409.5</v>
      </c>
      <c r="Q31" s="41">
        <f t="shared" ref="Q31" si="103">$K$31*12*Q39</f>
        <v>4605.12</v>
      </c>
      <c r="R31" s="78" t="s">
        <v>43</v>
      </c>
      <c r="S31" s="84" t="s">
        <v>24</v>
      </c>
      <c r="T31" s="47">
        <v>0</v>
      </c>
      <c r="U31" s="41">
        <f>$T$31*12*U39</f>
        <v>0</v>
      </c>
      <c r="V31" s="41">
        <f t="shared" ref="V31:AB31" si="104">$T$31*12*V39</f>
        <v>0</v>
      </c>
      <c r="W31" s="41">
        <f t="shared" si="104"/>
        <v>0</v>
      </c>
      <c r="X31" s="41">
        <f t="shared" ref="X31" si="105">$T$31*12*X39</f>
        <v>0</v>
      </c>
      <c r="Y31" s="41">
        <f t="shared" si="104"/>
        <v>0</v>
      </c>
      <c r="Z31" s="41">
        <f t="shared" si="104"/>
        <v>0</v>
      </c>
      <c r="AA31" s="41">
        <f t="shared" si="104"/>
        <v>0</v>
      </c>
      <c r="AB31" s="41">
        <f t="shared" si="104"/>
        <v>0</v>
      </c>
      <c r="AC31" s="78" t="s">
        <v>43</v>
      </c>
      <c r="AD31" s="84" t="s">
        <v>24</v>
      </c>
      <c r="AE31" s="47">
        <v>0</v>
      </c>
      <c r="AF31" s="41">
        <f>$AE$31*12*AF39</f>
        <v>0</v>
      </c>
      <c r="AG31" s="41">
        <f t="shared" ref="AG31:AY31" si="106">$AE$31*12*AG39</f>
        <v>0</v>
      </c>
      <c r="AH31" s="41">
        <f t="shared" si="106"/>
        <v>0</v>
      </c>
      <c r="AI31" s="41">
        <f t="shared" si="106"/>
        <v>0</v>
      </c>
      <c r="AJ31" s="41">
        <f t="shared" si="106"/>
        <v>0</v>
      </c>
      <c r="AK31" s="41">
        <f t="shared" si="106"/>
        <v>0</v>
      </c>
      <c r="AL31" s="41">
        <f t="shared" si="106"/>
        <v>0</v>
      </c>
      <c r="AM31" s="41">
        <f t="shared" si="106"/>
        <v>0</v>
      </c>
      <c r="AN31" s="41">
        <f t="shared" si="106"/>
        <v>0</v>
      </c>
      <c r="AO31" s="41">
        <f t="shared" si="106"/>
        <v>0</v>
      </c>
      <c r="AP31" s="41">
        <f t="shared" si="106"/>
        <v>0</v>
      </c>
      <c r="AQ31" s="41">
        <f t="shared" si="106"/>
        <v>0</v>
      </c>
      <c r="AR31" s="41">
        <f t="shared" si="106"/>
        <v>0</v>
      </c>
      <c r="AS31" s="41">
        <f t="shared" si="106"/>
        <v>0</v>
      </c>
      <c r="AT31" s="41">
        <f t="shared" si="106"/>
        <v>0</v>
      </c>
      <c r="AU31" s="41">
        <f t="shared" si="106"/>
        <v>0</v>
      </c>
      <c r="AV31" s="41">
        <f t="shared" si="106"/>
        <v>0</v>
      </c>
      <c r="AW31" s="41">
        <f t="shared" si="106"/>
        <v>0</v>
      </c>
      <c r="AX31" s="41">
        <f t="shared" si="106"/>
        <v>0</v>
      </c>
      <c r="AY31" s="41">
        <f t="shared" si="106"/>
        <v>0</v>
      </c>
      <c r="AZ31" s="101" t="s">
        <v>102</v>
      </c>
      <c r="BA31" s="104" t="s">
        <v>4</v>
      </c>
      <c r="BB31" s="92">
        <f>1.35*12*BB39</f>
        <v>60777.540000000008</v>
      </c>
      <c r="BC31" s="95">
        <f>1.25*12*BC39</f>
        <v>44151</v>
      </c>
      <c r="BD31" s="95">
        <f>1.25*12*BD39</f>
        <v>44166</v>
      </c>
      <c r="BF31" s="123"/>
    </row>
    <row r="32" spans="1:58" s="1" customFormat="1" ht="33" customHeight="1" x14ac:dyDescent="0.2">
      <c r="A32" s="48" t="s">
        <v>44</v>
      </c>
      <c r="B32" s="58" t="s">
        <v>3</v>
      </c>
      <c r="C32" s="47">
        <v>0.94</v>
      </c>
      <c r="D32" s="41">
        <f>$C$32*12*D39</f>
        <v>5130.1440000000002</v>
      </c>
      <c r="E32" s="41">
        <f t="shared" ref="E32:H32" si="107">$C$32*12*E39</f>
        <v>6022.3919999999998</v>
      </c>
      <c r="F32" s="41">
        <f t="shared" si="107"/>
        <v>5205.7199999999993</v>
      </c>
      <c r="G32" s="41">
        <f t="shared" si="107"/>
        <v>6699.1919999999991</v>
      </c>
      <c r="H32" s="41">
        <f t="shared" si="107"/>
        <v>4660.8959999999997</v>
      </c>
      <c r="I32" s="78" t="s">
        <v>44</v>
      </c>
      <c r="J32" s="47" t="s">
        <v>3</v>
      </c>
      <c r="K32" s="47">
        <v>1.02</v>
      </c>
      <c r="L32" s="41">
        <f>$K$32*12*L39</f>
        <v>6350.1119999999992</v>
      </c>
      <c r="M32" s="41">
        <f t="shared" ref="M32:P32" si="108">$K$32*12*M39</f>
        <v>7124.9040000000005</v>
      </c>
      <c r="N32" s="41">
        <f t="shared" si="108"/>
        <v>8116.3440000000001</v>
      </c>
      <c r="O32" s="41">
        <f t="shared" si="108"/>
        <v>6686.7119999999995</v>
      </c>
      <c r="P32" s="41">
        <f t="shared" si="108"/>
        <v>7803</v>
      </c>
      <c r="Q32" s="41">
        <f t="shared" ref="Q32" si="109">$K$32*12*Q39</f>
        <v>3818.88</v>
      </c>
      <c r="R32" s="78" t="s">
        <v>44</v>
      </c>
      <c r="S32" s="47" t="s">
        <v>3</v>
      </c>
      <c r="T32" s="47">
        <v>0.94</v>
      </c>
      <c r="U32" s="41">
        <f>$T$32*12*U39</f>
        <v>7469.616</v>
      </c>
      <c r="V32" s="41">
        <f t="shared" ref="V32:AB32" si="110">$T$32*12*V39</f>
        <v>5892.6719999999996</v>
      </c>
      <c r="W32" s="41">
        <f t="shared" si="110"/>
        <v>11096.136</v>
      </c>
      <c r="X32" s="41">
        <f t="shared" ref="X32" si="111">$T$32*12*X39</f>
        <v>4508.616</v>
      </c>
      <c r="Y32" s="41">
        <f t="shared" si="110"/>
        <v>9776.3760000000002</v>
      </c>
      <c r="Z32" s="41">
        <f t="shared" si="110"/>
        <v>6497.28</v>
      </c>
      <c r="AA32" s="41">
        <f t="shared" si="110"/>
        <v>6701.4480000000003</v>
      </c>
      <c r="AB32" s="41">
        <f t="shared" si="110"/>
        <v>6423.96</v>
      </c>
      <c r="AC32" s="78" t="s">
        <v>44</v>
      </c>
      <c r="AD32" s="47" t="s">
        <v>3</v>
      </c>
      <c r="AE32" s="47">
        <v>1.02</v>
      </c>
      <c r="AF32" s="41">
        <f>$AE$32*12*AF39</f>
        <v>5837.2559999999994</v>
      </c>
      <c r="AG32" s="41">
        <f t="shared" ref="AG32:AY32" si="112">$AE$32*12*AG39</f>
        <v>5867.8559999999998</v>
      </c>
      <c r="AH32" s="41">
        <f t="shared" si="112"/>
        <v>6047.7840000000006</v>
      </c>
      <c r="AI32" s="41">
        <f t="shared" si="112"/>
        <v>7154.28</v>
      </c>
      <c r="AJ32" s="41">
        <f t="shared" si="112"/>
        <v>5836.0320000000002</v>
      </c>
      <c r="AK32" s="41">
        <f t="shared" si="112"/>
        <v>7347.6719999999996</v>
      </c>
      <c r="AL32" s="41">
        <f t="shared" si="112"/>
        <v>5594.9040000000005</v>
      </c>
      <c r="AM32" s="41">
        <f t="shared" si="112"/>
        <v>7237.5119999999997</v>
      </c>
      <c r="AN32" s="41">
        <f t="shared" si="112"/>
        <v>3765.0240000000003</v>
      </c>
      <c r="AO32" s="41">
        <f t="shared" si="112"/>
        <v>6729.5519999999997</v>
      </c>
      <c r="AP32" s="41">
        <f t="shared" si="112"/>
        <v>6747.9119999999994</v>
      </c>
      <c r="AQ32" s="41">
        <f t="shared" si="112"/>
        <v>6829.92</v>
      </c>
      <c r="AR32" s="41">
        <f t="shared" si="112"/>
        <v>4762.5840000000007</v>
      </c>
      <c r="AS32" s="41">
        <f t="shared" si="112"/>
        <v>2104.056</v>
      </c>
      <c r="AT32" s="41">
        <f t="shared" si="112"/>
        <v>2339.0639999999999</v>
      </c>
      <c r="AU32" s="41">
        <f t="shared" si="112"/>
        <v>2237.4720000000002</v>
      </c>
      <c r="AV32" s="41">
        <f t="shared" si="112"/>
        <v>5993.9279999999999</v>
      </c>
      <c r="AW32" s="41">
        <f t="shared" si="112"/>
        <v>4208.1120000000001</v>
      </c>
      <c r="AX32" s="41">
        <f t="shared" si="112"/>
        <v>4082.04</v>
      </c>
      <c r="AY32" s="41">
        <f t="shared" si="112"/>
        <v>9904.6080000000002</v>
      </c>
      <c r="AZ32" s="101" t="s">
        <v>103</v>
      </c>
      <c r="BA32" s="102" t="s">
        <v>3</v>
      </c>
      <c r="BB32" s="92">
        <f>0.54*12*BB39</f>
        <v>24311.016</v>
      </c>
      <c r="BC32" s="95">
        <f>0.56*12*BC39</f>
        <v>19779.648000000001</v>
      </c>
      <c r="BD32" s="95">
        <f>0.56*12*BD39</f>
        <v>19786.368000000002</v>
      </c>
      <c r="BF32" s="123"/>
    </row>
    <row r="33" spans="1:59" s="1" customFormat="1" x14ac:dyDescent="0.2">
      <c r="A33" s="48" t="s">
        <v>45</v>
      </c>
      <c r="B33" s="58" t="s">
        <v>6</v>
      </c>
      <c r="C33" s="47">
        <v>0.33</v>
      </c>
      <c r="D33" s="41">
        <f>$C$33*12*D39</f>
        <v>1801.008</v>
      </c>
      <c r="E33" s="41">
        <f t="shared" ref="E33:H33" si="113">$C$33*12*E39</f>
        <v>2114.2439999999997</v>
      </c>
      <c r="F33" s="41">
        <f t="shared" si="113"/>
        <v>1827.54</v>
      </c>
      <c r="G33" s="41">
        <f t="shared" si="113"/>
        <v>2351.8440000000001</v>
      </c>
      <c r="H33" s="41">
        <f t="shared" si="113"/>
        <v>1636.2719999999999</v>
      </c>
      <c r="I33" s="78" t="s">
        <v>45</v>
      </c>
      <c r="J33" s="47" t="s">
        <v>6</v>
      </c>
      <c r="K33" s="47">
        <v>0.39</v>
      </c>
      <c r="L33" s="41">
        <f>$K$33*12*L39</f>
        <v>2427.9839999999995</v>
      </c>
      <c r="M33" s="41">
        <f t="shared" ref="M33:P33" si="114">$K$33*12*M39</f>
        <v>2724.2280000000001</v>
      </c>
      <c r="N33" s="41">
        <f t="shared" si="114"/>
        <v>3103.308</v>
      </c>
      <c r="O33" s="41">
        <f t="shared" si="114"/>
        <v>2556.6839999999997</v>
      </c>
      <c r="P33" s="41">
        <f t="shared" si="114"/>
        <v>2983.5</v>
      </c>
      <c r="Q33" s="41">
        <f t="shared" ref="Q33" si="115">$K$33*12*Q39</f>
        <v>1460.1599999999999</v>
      </c>
      <c r="R33" s="78" t="s">
        <v>45</v>
      </c>
      <c r="S33" s="47" t="s">
        <v>6</v>
      </c>
      <c r="T33" s="47">
        <v>0.33</v>
      </c>
      <c r="U33" s="41">
        <f>$T$33*12*U39</f>
        <v>2622.3120000000004</v>
      </c>
      <c r="V33" s="41">
        <f t="shared" ref="V33:AB33" si="116">$T$33*12*V39</f>
        <v>2068.7039999999997</v>
      </c>
      <c r="W33" s="41">
        <f t="shared" si="116"/>
        <v>3895.4520000000002</v>
      </c>
      <c r="X33" s="41">
        <f t="shared" ref="X33" si="117">$T$33*12*X39</f>
        <v>1582.8119999999999</v>
      </c>
      <c r="Y33" s="41">
        <f t="shared" si="116"/>
        <v>3432.1320000000001</v>
      </c>
      <c r="Z33" s="41">
        <f t="shared" si="116"/>
        <v>2280.96</v>
      </c>
      <c r="AA33" s="41">
        <f t="shared" si="116"/>
        <v>2352.636</v>
      </c>
      <c r="AB33" s="41">
        <f t="shared" si="116"/>
        <v>2255.2199999999998</v>
      </c>
      <c r="AC33" s="78" t="s">
        <v>45</v>
      </c>
      <c r="AD33" s="47" t="s">
        <v>6</v>
      </c>
      <c r="AE33" s="47">
        <v>0.39</v>
      </c>
      <c r="AF33" s="41">
        <f>$AE$33*12*AF39</f>
        <v>2231.8919999999998</v>
      </c>
      <c r="AG33" s="41">
        <f t="shared" ref="AG33:AY33" si="118">$AE$33*12*AG39</f>
        <v>2243.5919999999996</v>
      </c>
      <c r="AH33" s="41">
        <f t="shared" si="118"/>
        <v>2312.3879999999999</v>
      </c>
      <c r="AI33" s="41">
        <f t="shared" si="118"/>
        <v>2735.46</v>
      </c>
      <c r="AJ33" s="41">
        <f t="shared" si="118"/>
        <v>2231.424</v>
      </c>
      <c r="AK33" s="41">
        <f t="shared" si="118"/>
        <v>2809.4039999999995</v>
      </c>
      <c r="AL33" s="41">
        <f t="shared" si="118"/>
        <v>2139.2280000000001</v>
      </c>
      <c r="AM33" s="41">
        <f t="shared" si="118"/>
        <v>2767.2839999999997</v>
      </c>
      <c r="AN33" s="41">
        <f t="shared" si="118"/>
        <v>1439.568</v>
      </c>
      <c r="AO33" s="41">
        <f t="shared" si="118"/>
        <v>2573.0639999999999</v>
      </c>
      <c r="AP33" s="41">
        <f t="shared" si="118"/>
        <v>2580.0839999999998</v>
      </c>
      <c r="AQ33" s="41">
        <f t="shared" si="118"/>
        <v>2611.44</v>
      </c>
      <c r="AR33" s="41">
        <f t="shared" si="118"/>
        <v>1820.9880000000001</v>
      </c>
      <c r="AS33" s="41">
        <f t="shared" si="118"/>
        <v>804.49199999999996</v>
      </c>
      <c r="AT33" s="41">
        <f t="shared" si="118"/>
        <v>894.34799999999996</v>
      </c>
      <c r="AU33" s="41">
        <f t="shared" si="118"/>
        <v>855.50400000000002</v>
      </c>
      <c r="AV33" s="41">
        <f t="shared" si="118"/>
        <v>2291.7959999999998</v>
      </c>
      <c r="AW33" s="41">
        <f t="shared" si="118"/>
        <v>1608.9839999999999</v>
      </c>
      <c r="AX33" s="41">
        <f t="shared" si="118"/>
        <v>1560.78</v>
      </c>
      <c r="AY33" s="41">
        <f t="shared" si="118"/>
        <v>3787.056</v>
      </c>
      <c r="AZ33" s="106" t="s">
        <v>104</v>
      </c>
      <c r="BA33" s="107" t="s">
        <v>105</v>
      </c>
      <c r="BB33" s="96">
        <f>0.54*12*BB39</f>
        <v>24311.016</v>
      </c>
      <c r="BC33" s="97">
        <f>0.03*12*BC39</f>
        <v>1059.624</v>
      </c>
      <c r="BD33" s="97">
        <f>0.03*12*BD39</f>
        <v>1059.9839999999999</v>
      </c>
      <c r="BF33" s="123"/>
    </row>
    <row r="34" spans="1:59" s="42" customFormat="1" ht="94.5" customHeight="1" x14ac:dyDescent="0.2">
      <c r="A34" s="63" t="s">
        <v>46</v>
      </c>
      <c r="B34" s="58" t="s">
        <v>52</v>
      </c>
      <c r="C34" s="66" t="s">
        <v>73</v>
      </c>
      <c r="D34" s="43">
        <v>7500</v>
      </c>
      <c r="E34" s="43">
        <v>7500</v>
      </c>
      <c r="F34" s="43">
        <v>7500</v>
      </c>
      <c r="G34" s="43">
        <v>7500</v>
      </c>
      <c r="H34" s="43">
        <v>7500</v>
      </c>
      <c r="I34" s="85" t="s">
        <v>46</v>
      </c>
      <c r="J34" s="47" t="s">
        <v>52</v>
      </c>
      <c r="K34" s="66" t="s">
        <v>73</v>
      </c>
      <c r="L34" s="43">
        <v>7500</v>
      </c>
      <c r="M34" s="43">
        <v>7500</v>
      </c>
      <c r="N34" s="43">
        <v>7500</v>
      </c>
      <c r="O34" s="43">
        <v>7500</v>
      </c>
      <c r="P34" s="43">
        <v>7500</v>
      </c>
      <c r="Q34" s="43">
        <v>7500</v>
      </c>
      <c r="R34" s="85" t="s">
        <v>46</v>
      </c>
      <c r="S34" s="47" t="s">
        <v>52</v>
      </c>
      <c r="T34" s="66" t="s">
        <v>74</v>
      </c>
      <c r="U34" s="43">
        <v>2500</v>
      </c>
      <c r="V34" s="43">
        <v>2500</v>
      </c>
      <c r="W34" s="43">
        <v>2500</v>
      </c>
      <c r="X34" s="43">
        <v>2500</v>
      </c>
      <c r="Y34" s="43">
        <v>2500</v>
      </c>
      <c r="Z34" s="43">
        <v>2500</v>
      </c>
      <c r="AA34" s="43">
        <v>2500</v>
      </c>
      <c r="AB34" s="43">
        <v>2500</v>
      </c>
      <c r="AC34" s="85" t="s">
        <v>46</v>
      </c>
      <c r="AD34" s="47" t="s">
        <v>52</v>
      </c>
      <c r="AE34" s="66" t="s">
        <v>75</v>
      </c>
      <c r="AF34" s="43">
        <v>2500</v>
      </c>
      <c r="AG34" s="43">
        <v>2500</v>
      </c>
      <c r="AH34" s="43">
        <v>2500</v>
      </c>
      <c r="AI34" s="43">
        <v>2500</v>
      </c>
      <c r="AJ34" s="43">
        <v>2500</v>
      </c>
      <c r="AK34" s="43">
        <v>2500</v>
      </c>
      <c r="AL34" s="43">
        <v>2500</v>
      </c>
      <c r="AM34" s="43">
        <v>2500</v>
      </c>
      <c r="AN34" s="43">
        <v>2500</v>
      </c>
      <c r="AO34" s="43">
        <v>2500</v>
      </c>
      <c r="AP34" s="43">
        <v>2500</v>
      </c>
      <c r="AQ34" s="43">
        <v>2500</v>
      </c>
      <c r="AR34" s="43">
        <v>2500</v>
      </c>
      <c r="AS34" s="43">
        <v>2500</v>
      </c>
      <c r="AT34" s="43">
        <v>2500</v>
      </c>
      <c r="AU34" s="43">
        <v>2500</v>
      </c>
      <c r="AV34" s="43">
        <v>2500</v>
      </c>
      <c r="AW34" s="43">
        <v>2500</v>
      </c>
      <c r="AX34" s="43">
        <v>2500</v>
      </c>
      <c r="AY34" s="43">
        <v>2500</v>
      </c>
      <c r="AZ34" s="110" t="s">
        <v>109</v>
      </c>
      <c r="BA34" s="66" t="s">
        <v>110</v>
      </c>
      <c r="BB34" s="115">
        <v>25000</v>
      </c>
      <c r="BC34" s="115">
        <v>25000</v>
      </c>
      <c r="BD34" s="115">
        <v>25000</v>
      </c>
      <c r="BF34" s="127"/>
    </row>
    <row r="35" spans="1:59" s="1" customFormat="1" x14ac:dyDescent="0.2">
      <c r="A35" s="63" t="s">
        <v>47</v>
      </c>
      <c r="B35" s="58" t="s">
        <v>53</v>
      </c>
      <c r="C35" s="52">
        <v>2.78</v>
      </c>
      <c r="D35" s="21">
        <f>$C$35*12*D39</f>
        <v>15172.128000000001</v>
      </c>
      <c r="E35" s="21">
        <f t="shared" ref="E35:H35" si="119">$C$35*12*E39</f>
        <v>17810.903999999999</v>
      </c>
      <c r="F35" s="21">
        <f t="shared" si="119"/>
        <v>15395.64</v>
      </c>
      <c r="G35" s="21">
        <f t="shared" si="119"/>
        <v>19812.503999999997</v>
      </c>
      <c r="H35" s="21">
        <f t="shared" si="119"/>
        <v>13784.351999999999</v>
      </c>
      <c r="I35" s="85" t="s">
        <v>47</v>
      </c>
      <c r="J35" s="47" t="s">
        <v>53</v>
      </c>
      <c r="K35" s="52">
        <v>2.52</v>
      </c>
      <c r="L35" s="21">
        <f>$K$35*12*L39</f>
        <v>15688.511999999999</v>
      </c>
      <c r="M35" s="21">
        <f t="shared" ref="M35:P35" si="120">$K$35*12*M39</f>
        <v>17602.704000000002</v>
      </c>
      <c r="N35" s="21">
        <f t="shared" si="120"/>
        <v>20052.144</v>
      </c>
      <c r="O35" s="21">
        <f t="shared" si="120"/>
        <v>16520.112000000001</v>
      </c>
      <c r="P35" s="21">
        <f t="shared" si="120"/>
        <v>19278</v>
      </c>
      <c r="Q35" s="21">
        <f t="shared" ref="Q35" si="121">$K$35*12*Q39</f>
        <v>9434.880000000001</v>
      </c>
      <c r="R35" s="85" t="s">
        <v>47</v>
      </c>
      <c r="S35" s="47" t="s">
        <v>53</v>
      </c>
      <c r="T35" s="52">
        <v>2.48</v>
      </c>
      <c r="U35" s="21">
        <f>$T$35*12*U39</f>
        <v>19707.072</v>
      </c>
      <c r="V35" s="21">
        <f t="shared" ref="V35:AB35" si="122">$T$35*12*V39</f>
        <v>15546.623999999998</v>
      </c>
      <c r="W35" s="21">
        <f t="shared" si="122"/>
        <v>29274.912</v>
      </c>
      <c r="X35" s="21">
        <f t="shared" ref="X35" si="123">$T$35*12*X39</f>
        <v>11895.071999999998</v>
      </c>
      <c r="Y35" s="21">
        <f t="shared" si="122"/>
        <v>25792.991999999998</v>
      </c>
      <c r="Z35" s="21">
        <f t="shared" si="122"/>
        <v>17141.759999999998</v>
      </c>
      <c r="AA35" s="21">
        <f t="shared" si="122"/>
        <v>17680.416000000001</v>
      </c>
      <c r="AB35" s="21">
        <f t="shared" si="122"/>
        <v>16948.32</v>
      </c>
      <c r="AC35" s="85" t="s">
        <v>47</v>
      </c>
      <c r="AD35" s="47" t="s">
        <v>53</v>
      </c>
      <c r="AE35" s="52">
        <v>2.3199999999999998</v>
      </c>
      <c r="AF35" s="21">
        <f>$AE$35*12*AF39</f>
        <v>13276.895999999997</v>
      </c>
      <c r="AG35" s="21">
        <f t="shared" ref="AG35:AY35" si="124">$AE$35*12*AG39</f>
        <v>13346.495999999997</v>
      </c>
      <c r="AH35" s="21">
        <f t="shared" si="124"/>
        <v>13755.743999999999</v>
      </c>
      <c r="AI35" s="21">
        <f t="shared" si="124"/>
        <v>16272.479999999998</v>
      </c>
      <c r="AJ35" s="21">
        <f t="shared" si="124"/>
        <v>13274.111999999999</v>
      </c>
      <c r="AK35" s="21">
        <f t="shared" si="124"/>
        <v>16712.351999999995</v>
      </c>
      <c r="AL35" s="21">
        <f t="shared" si="124"/>
        <v>12725.663999999999</v>
      </c>
      <c r="AM35" s="21">
        <f t="shared" si="124"/>
        <v>16461.791999999998</v>
      </c>
      <c r="AN35" s="21">
        <f t="shared" si="124"/>
        <v>8563.5839999999989</v>
      </c>
      <c r="AO35" s="21">
        <f t="shared" si="124"/>
        <v>15306.431999999997</v>
      </c>
      <c r="AP35" s="21">
        <f t="shared" si="124"/>
        <v>15348.191999999997</v>
      </c>
      <c r="AQ35" s="21">
        <f t="shared" si="124"/>
        <v>15534.719999999998</v>
      </c>
      <c r="AR35" s="21">
        <f t="shared" si="124"/>
        <v>10832.544</v>
      </c>
      <c r="AS35" s="21">
        <f t="shared" si="124"/>
        <v>4785.6959999999999</v>
      </c>
      <c r="AT35" s="21">
        <f t="shared" si="124"/>
        <v>5320.2239999999993</v>
      </c>
      <c r="AU35" s="21">
        <f t="shared" si="124"/>
        <v>5089.152</v>
      </c>
      <c r="AV35" s="21">
        <f t="shared" si="124"/>
        <v>13633.247999999998</v>
      </c>
      <c r="AW35" s="21">
        <f t="shared" si="124"/>
        <v>9571.3919999999998</v>
      </c>
      <c r="AX35" s="21">
        <f t="shared" si="124"/>
        <v>9284.64</v>
      </c>
      <c r="AY35" s="21">
        <f t="shared" si="124"/>
        <v>22528.127999999997</v>
      </c>
      <c r="AZ35" s="85" t="s">
        <v>67</v>
      </c>
      <c r="BA35" s="47" t="s">
        <v>53</v>
      </c>
      <c r="BB35" s="96">
        <v>0</v>
      </c>
      <c r="BC35" s="97">
        <f>0.65*12*BC39</f>
        <v>22958.520000000004</v>
      </c>
      <c r="BD35" s="97">
        <v>0</v>
      </c>
      <c r="BE35" s="40"/>
      <c r="BF35" s="126"/>
    </row>
    <row r="36" spans="1:59" s="1" customFormat="1" x14ac:dyDescent="0.2">
      <c r="A36" s="63" t="s">
        <v>48</v>
      </c>
      <c r="B36" s="58" t="s">
        <v>53</v>
      </c>
      <c r="C36" s="52">
        <v>0.65</v>
      </c>
      <c r="D36" s="21">
        <f t="shared" ref="D36:H36" si="125">$C$36*12*D39</f>
        <v>3547.4400000000005</v>
      </c>
      <c r="E36" s="21">
        <f t="shared" si="125"/>
        <v>4164.42</v>
      </c>
      <c r="F36" s="21">
        <f t="shared" si="125"/>
        <v>3599.7000000000003</v>
      </c>
      <c r="G36" s="21">
        <f t="shared" si="125"/>
        <v>4632.42</v>
      </c>
      <c r="H36" s="21">
        <f t="shared" si="125"/>
        <v>3222.96</v>
      </c>
      <c r="I36" s="85" t="s">
        <v>67</v>
      </c>
      <c r="J36" s="47" t="s">
        <v>53</v>
      </c>
      <c r="K36" s="52">
        <v>0.65</v>
      </c>
      <c r="L36" s="72">
        <f>K36*12*L39</f>
        <v>4046.64</v>
      </c>
      <c r="M36" s="72">
        <f>M39*K36*12</f>
        <v>4540.38</v>
      </c>
      <c r="N36" s="72">
        <f>K36*N39*12</f>
        <v>5172.18</v>
      </c>
      <c r="O36" s="72">
        <f>O39*K36*12</f>
        <v>4261.1399999999994</v>
      </c>
      <c r="P36" s="72">
        <f>P39*12*K36</f>
        <v>4972.5</v>
      </c>
      <c r="Q36" s="72">
        <f>Q39*12*K36</f>
        <v>2433.6</v>
      </c>
      <c r="R36" s="85" t="s">
        <v>48</v>
      </c>
      <c r="S36" s="47" t="s">
        <v>53</v>
      </c>
      <c r="T36" s="52">
        <v>0.65</v>
      </c>
      <c r="U36" s="72">
        <f>U39*T36*12</f>
        <v>5165.1600000000008</v>
      </c>
      <c r="V36" s="72">
        <f>V39*T36*12</f>
        <v>4074.7200000000003</v>
      </c>
      <c r="W36" s="72">
        <f>W39*T36*12</f>
        <v>7672.8600000000006</v>
      </c>
      <c r="X36" s="72">
        <f>T36*X39*12</f>
        <v>3117.66</v>
      </c>
      <c r="Y36" s="72">
        <f>Y39*T36*12</f>
        <v>6760.26</v>
      </c>
      <c r="Z36" s="72">
        <f>Z39*T36*12</f>
        <v>4492.8</v>
      </c>
      <c r="AA36" s="72">
        <f>AA39*T36*12</f>
        <v>4633.9800000000005</v>
      </c>
      <c r="AB36" s="71">
        <f>T36*12*AB39</f>
        <v>4442.1000000000004</v>
      </c>
      <c r="AC36" s="85" t="s">
        <v>67</v>
      </c>
      <c r="AD36" s="47" t="s">
        <v>53</v>
      </c>
      <c r="AE36" s="52">
        <v>0.65</v>
      </c>
      <c r="AF36" s="72">
        <f>AF39*$AE$36*12</f>
        <v>3719.82</v>
      </c>
      <c r="AG36" s="72">
        <f t="shared" ref="AG36:AX36" si="126">AG39*$AE$36*12</f>
        <v>3739.32</v>
      </c>
      <c r="AH36" s="72">
        <f t="shared" si="126"/>
        <v>3853.9800000000005</v>
      </c>
      <c r="AI36" s="72">
        <f t="shared" si="126"/>
        <v>4559.1000000000004</v>
      </c>
      <c r="AJ36" s="72">
        <f t="shared" si="126"/>
        <v>3719.04</v>
      </c>
      <c r="AK36" s="72">
        <f t="shared" si="126"/>
        <v>4682.34</v>
      </c>
      <c r="AL36" s="72">
        <f t="shared" si="126"/>
        <v>3565.38</v>
      </c>
      <c r="AM36" s="72">
        <f t="shared" si="126"/>
        <v>4612.1399999999994</v>
      </c>
      <c r="AN36" s="72">
        <f t="shared" si="126"/>
        <v>2399.2800000000002</v>
      </c>
      <c r="AO36" s="72">
        <f t="shared" si="126"/>
        <v>4288.4400000000005</v>
      </c>
      <c r="AP36" s="72">
        <f t="shared" si="126"/>
        <v>4300.1399999999994</v>
      </c>
      <c r="AQ36" s="72">
        <f t="shared" si="126"/>
        <v>4352.3999999999996</v>
      </c>
      <c r="AR36" s="72">
        <f t="shared" si="126"/>
        <v>3034.9800000000005</v>
      </c>
      <c r="AS36" s="72">
        <f t="shared" si="126"/>
        <v>1340.8200000000002</v>
      </c>
      <c r="AT36" s="72">
        <v>0</v>
      </c>
      <c r="AU36" s="72">
        <f t="shared" si="126"/>
        <v>1425.8400000000001</v>
      </c>
      <c r="AV36" s="72">
        <f t="shared" si="126"/>
        <v>3819.66</v>
      </c>
      <c r="AW36" s="72">
        <v>0</v>
      </c>
      <c r="AX36" s="72">
        <f t="shared" si="126"/>
        <v>2601.3000000000002</v>
      </c>
      <c r="AY36" s="72">
        <v>0</v>
      </c>
      <c r="AZ36" s="110" t="s">
        <v>106</v>
      </c>
      <c r="BA36" s="107" t="s">
        <v>53</v>
      </c>
      <c r="BB36" s="114">
        <f>2.82*12*BB39</f>
        <v>126957.52799999998</v>
      </c>
      <c r="BC36" s="97">
        <f>2.45*12*BC39</f>
        <v>86535.96</v>
      </c>
      <c r="BD36" s="97">
        <f>2.45*12*BD39</f>
        <v>86565.360000000015</v>
      </c>
      <c r="BE36" s="40"/>
      <c r="BF36" s="126"/>
    </row>
    <row r="37" spans="1:59" s="72" customFormat="1" x14ac:dyDescent="0.2">
      <c r="A37" s="63" t="s">
        <v>72</v>
      </c>
      <c r="B37" s="66" t="s">
        <v>53</v>
      </c>
      <c r="C37" s="52"/>
      <c r="D37" s="70">
        <f>2.26*12*D39</f>
        <v>12334.175999999999</v>
      </c>
      <c r="E37" s="70">
        <f>E39*12*2.29</f>
        <v>14671.571999999998</v>
      </c>
      <c r="F37" s="70">
        <f>F39*12*2.38</f>
        <v>13180.439999999999</v>
      </c>
      <c r="G37" s="70">
        <f>12*G39*2.49</f>
        <v>17745.732</v>
      </c>
      <c r="H37" s="70">
        <f>H39*12*2.31</f>
        <v>11453.903999999999</v>
      </c>
      <c r="I37" s="85" t="s">
        <v>72</v>
      </c>
      <c r="J37" s="117" t="s">
        <v>53</v>
      </c>
      <c r="K37" s="52"/>
      <c r="L37" s="73">
        <f>L39*12*2.54</f>
        <v>15813.023999999999</v>
      </c>
      <c r="M37" s="73">
        <f>M39*12*2.45</f>
        <v>17113.740000000002</v>
      </c>
      <c r="N37" s="73">
        <f>N39*12*2.02</f>
        <v>16073.544000000002</v>
      </c>
      <c r="O37" s="73">
        <f>O39*12*1.92</f>
        <v>12586.751999999999</v>
      </c>
      <c r="P37" s="73">
        <f>P39*12*1.59</f>
        <v>12163.5</v>
      </c>
      <c r="Q37" s="73">
        <f>Q39*12*1.8</f>
        <v>6739.2</v>
      </c>
      <c r="R37" s="85" t="s">
        <v>72</v>
      </c>
      <c r="S37" s="117" t="s">
        <v>53</v>
      </c>
      <c r="T37" s="52"/>
      <c r="U37" s="72">
        <f>U39*12*1.77</f>
        <v>14065.128000000001</v>
      </c>
      <c r="V37" s="118">
        <f>2.41*V39*12</f>
        <v>15107.807999999999</v>
      </c>
      <c r="W37" s="73">
        <f>W39*2.43*12</f>
        <v>28684.692000000003</v>
      </c>
      <c r="X37" s="73">
        <f>X39*2.24*12</f>
        <v>10743.936000000002</v>
      </c>
      <c r="Y37" s="73">
        <f>Y39*1.93*12</f>
        <v>20072.772000000001</v>
      </c>
      <c r="Z37" s="73">
        <f>Z39*2.22*12</f>
        <v>15344.64</v>
      </c>
      <c r="AA37" s="73">
        <f>AA39*2.23*12</f>
        <v>15898.116000000002</v>
      </c>
      <c r="AB37" s="73">
        <f>AB39*12*2.21</f>
        <v>15103.14</v>
      </c>
      <c r="AC37" s="85" t="s">
        <v>72</v>
      </c>
      <c r="AD37" s="117" t="s">
        <v>53</v>
      </c>
      <c r="AE37" s="52"/>
      <c r="AF37" s="73">
        <f>AF39*12*2.46</f>
        <v>14078.087999999998</v>
      </c>
      <c r="AG37" s="73">
        <f>2.43*AG39*12</f>
        <v>13979.304</v>
      </c>
      <c r="AH37" s="73">
        <f>AH39*12*2.38</f>
        <v>14111.496000000001</v>
      </c>
      <c r="AI37" s="73">
        <f>AI39*12*2.42</f>
        <v>16973.88</v>
      </c>
      <c r="AJ37" s="73">
        <f>AJ39*12*2.48</f>
        <v>14189.568000000001</v>
      </c>
      <c r="AK37" s="119">
        <f>AK39*12*2.42</f>
        <v>17432.712</v>
      </c>
      <c r="AL37" s="119">
        <f>AL39*12*2.47</f>
        <v>13548.444000000003</v>
      </c>
      <c r="AM37" s="73">
        <f>AM39*12*2.45</f>
        <v>17384.22</v>
      </c>
      <c r="AN37" s="73">
        <f>2.04*12*AN39</f>
        <v>7530.0480000000007</v>
      </c>
      <c r="AO37" s="73">
        <f>AO39*12*1.94</f>
        <v>12799.343999999999</v>
      </c>
      <c r="AP37" s="73">
        <f>AP39*12*1.93</f>
        <v>12768.107999999998</v>
      </c>
      <c r="AQ37" s="73">
        <f>AQ39*12*2.4</f>
        <v>16070.4</v>
      </c>
      <c r="AR37" s="73">
        <f>AR39*12*2.04</f>
        <v>9525.1680000000015</v>
      </c>
      <c r="AS37" s="73">
        <f>AS39*12*3.08</f>
        <v>6353.4240000000009</v>
      </c>
      <c r="AT37" s="73">
        <f>AT39*12*1.62</f>
        <v>3714.9839999999999</v>
      </c>
      <c r="AU37" s="73">
        <f>AU39*12*2.77</f>
        <v>6076.2720000000008</v>
      </c>
      <c r="AV37" s="73">
        <f>AV39*2.35*12</f>
        <v>13809.54</v>
      </c>
      <c r="AW37" s="73">
        <f>1.6*AW39*12</f>
        <v>6600.9600000000009</v>
      </c>
      <c r="AX37" s="73">
        <f>AX39*12*2.48</f>
        <v>9924.9599999999991</v>
      </c>
      <c r="AY37" s="73">
        <f>1.96*AY39*12</f>
        <v>19032.384000000002</v>
      </c>
      <c r="AZ37" s="110" t="s">
        <v>111</v>
      </c>
      <c r="BA37" s="120" t="s">
        <v>53</v>
      </c>
      <c r="BB37" s="114">
        <f>1.69*12*BB39</f>
        <v>76084.475999999995</v>
      </c>
      <c r="BC37" s="97">
        <f>1.68*12*BC39</f>
        <v>59338.944000000003</v>
      </c>
      <c r="BD37" s="97">
        <f>2.06*12*BD39</f>
        <v>72785.567999999999</v>
      </c>
      <c r="BE37" s="142"/>
      <c r="BF37" s="142"/>
      <c r="BG37" s="143"/>
    </row>
    <row r="38" spans="1:59" s="15" customFormat="1" x14ac:dyDescent="0.2">
      <c r="A38" s="55" t="s">
        <v>2</v>
      </c>
      <c r="B38" s="64"/>
      <c r="C38" s="53"/>
      <c r="D38" s="13">
        <f>D35+D34+D28+D24+D14+D9+D36+D37</f>
        <v>134061.74400000001</v>
      </c>
      <c r="E38" s="13">
        <f>E35+E34+E28+E24+E14+E9+E36+E37</f>
        <v>156265.89599999998</v>
      </c>
      <c r="F38" s="13">
        <f t="shared" ref="F38:H38" si="127">F35+F34+F28+F24+F14+F9+F36+F37</f>
        <v>136590.77999999997</v>
      </c>
      <c r="G38" s="13">
        <f t="shared" si="127"/>
        <v>174409.65599999999</v>
      </c>
      <c r="H38" s="13">
        <f t="shared" si="127"/>
        <v>122733.21599999999</v>
      </c>
      <c r="I38" s="86" t="s">
        <v>2</v>
      </c>
      <c r="J38" s="53"/>
      <c r="K38" s="53"/>
      <c r="L38" s="13">
        <f>L35+L34+L28+L24+L14+L10+L36+L37</f>
        <v>142720.03199999998</v>
      </c>
      <c r="M38" s="13">
        <f t="shared" ref="M38:P38" si="128">M35+M34+M28+M24+M14+M10+M36+M37</f>
        <v>158589.87600000002</v>
      </c>
      <c r="N38" s="13">
        <f t="shared" si="128"/>
        <v>176192.63999999998</v>
      </c>
      <c r="O38" s="13">
        <f t="shared" si="128"/>
        <v>145823.16</v>
      </c>
      <c r="P38" s="13">
        <f t="shared" si="128"/>
        <v>166390.5</v>
      </c>
      <c r="Q38" s="13">
        <f t="shared" ref="Q38" si="129">Q35+Q34+Q28+Q24+Q14+Q10+Q36+Q37</f>
        <v>86049.12000000001</v>
      </c>
      <c r="R38" s="86" t="s">
        <v>2</v>
      </c>
      <c r="S38" s="53"/>
      <c r="T38" s="53"/>
      <c r="U38" s="13">
        <f>U35+U34+U28+U24+U14+U10+U36+U37</f>
        <v>151177.144</v>
      </c>
      <c r="V38" s="13">
        <f t="shared" ref="V38:AB38" si="130">V35+V34+V28+V24+V14+V10+V36+V37</f>
        <v>123801.28</v>
      </c>
      <c r="W38" s="13">
        <f t="shared" si="130"/>
        <v>231151.22800000003</v>
      </c>
      <c r="X38" s="13">
        <f t="shared" ref="X38" si="131">X35+X34+X28+X24+X14+X10+X36+X37</f>
        <v>94494.95199999999</v>
      </c>
      <c r="Y38" s="13">
        <f t="shared" si="130"/>
        <v>198755.54800000001</v>
      </c>
      <c r="Z38" s="13">
        <f t="shared" si="130"/>
        <v>134933.92000000001</v>
      </c>
      <c r="AA38" s="13">
        <f t="shared" si="130"/>
        <v>139166.764</v>
      </c>
      <c r="AB38" s="13">
        <f t="shared" si="130"/>
        <v>133371.09999999998</v>
      </c>
      <c r="AC38" s="86" t="s">
        <v>2</v>
      </c>
      <c r="AD38" s="53"/>
      <c r="AE38" s="53"/>
      <c r="AF38" s="13">
        <f>AF35+AF34+AF28+AF24+AF14+AF10+AF36+AF37</f>
        <v>106197.13600000001</v>
      </c>
      <c r="AG38" s="13">
        <f t="shared" ref="AG38:AY38" si="132">AG35+AG34+AG28+AG24+AG14+AG10+AG36+AG37</f>
        <v>106568.152</v>
      </c>
      <c r="AH38" s="13">
        <f t="shared" si="132"/>
        <v>109462.768</v>
      </c>
      <c r="AI38" s="13">
        <f t="shared" si="132"/>
        <v>129313.12</v>
      </c>
      <c r="AJ38" s="13">
        <f t="shared" si="132"/>
        <v>106289.82399999999</v>
      </c>
      <c r="AK38" s="13">
        <f t="shared" si="132"/>
        <v>132741.08799999999</v>
      </c>
      <c r="AL38" s="13">
        <f t="shared" si="132"/>
        <v>101946.67600000001</v>
      </c>
      <c r="AM38" s="13">
        <f t="shared" si="132"/>
        <v>131001.31599999999</v>
      </c>
      <c r="AN38" s="13">
        <f t="shared" si="132"/>
        <v>67834.240000000005</v>
      </c>
      <c r="AO38" s="13">
        <f t="shared" si="132"/>
        <v>118617.76</v>
      </c>
      <c r="AP38" s="13">
        <f t="shared" si="132"/>
        <v>118868.40399999998</v>
      </c>
      <c r="AQ38" s="13">
        <f t="shared" si="132"/>
        <v>123429.75999999998</v>
      </c>
      <c r="AR38" s="13">
        <f t="shared" si="132"/>
        <v>85144.840000000011</v>
      </c>
      <c r="AS38" s="13">
        <f t="shared" si="132"/>
        <v>41156.871999999996</v>
      </c>
      <c r="AT38" s="13">
        <f t="shared" si="132"/>
        <v>40635.915999999997</v>
      </c>
      <c r="AU38" s="13">
        <f t="shared" si="132"/>
        <v>42928.047999999995</v>
      </c>
      <c r="AV38" s="13">
        <f t="shared" si="132"/>
        <v>108333.96400000001</v>
      </c>
      <c r="AW38" s="13">
        <f t="shared" si="132"/>
        <v>71026.216</v>
      </c>
      <c r="AX38" s="13">
        <f t="shared" si="132"/>
        <v>75096.28</v>
      </c>
      <c r="AY38" s="13">
        <f t="shared" si="132"/>
        <v>167285.48799999998</v>
      </c>
      <c r="AZ38" s="109" t="s">
        <v>2</v>
      </c>
      <c r="BA38" s="107"/>
      <c r="BB38" s="113">
        <f>BB37+BB36++BB34+BB14++BB9+BB23+BB28+BB33+BB32+BB31</f>
        <v>1076226.3399999999</v>
      </c>
      <c r="BC38" s="113">
        <f>BC37+BC36++BC34+BC14++BC9+BC23+BC28+BC33+BC32+BC31+BC35</f>
        <v>812653.84</v>
      </c>
      <c r="BD38" s="113">
        <f>BD37+BD36++BD34+BD14++BD9+BD23+BD28+BD33+BD32+BD31+BD35</f>
        <v>803381.58400000003</v>
      </c>
      <c r="BE38" s="129">
        <v>7482818</v>
      </c>
      <c r="BF38" s="130">
        <f>BE38/12*5/100</f>
        <v>31178.408333333329</v>
      </c>
      <c r="BG38" s="144"/>
    </row>
    <row r="39" spans="1:59" s="2" customFormat="1" ht="25.5" customHeight="1" x14ac:dyDescent="0.2">
      <c r="A39" s="55" t="s">
        <v>1</v>
      </c>
      <c r="B39" s="64"/>
      <c r="C39" s="54"/>
      <c r="D39" s="122">
        <v>454.8</v>
      </c>
      <c r="E39" s="122">
        <v>533.9</v>
      </c>
      <c r="F39" s="122">
        <v>461.5</v>
      </c>
      <c r="G39" s="122">
        <v>593.9</v>
      </c>
      <c r="H39" s="122">
        <v>413.2</v>
      </c>
      <c r="I39" s="86" t="s">
        <v>1</v>
      </c>
      <c r="J39" s="53"/>
      <c r="K39" s="54"/>
      <c r="L39" s="35">
        <v>518.79999999999995</v>
      </c>
      <c r="M39" s="35">
        <v>582.1</v>
      </c>
      <c r="N39" s="35">
        <v>663.1</v>
      </c>
      <c r="O39" s="35">
        <v>546.29999999999995</v>
      </c>
      <c r="P39" s="35">
        <v>637.5</v>
      </c>
      <c r="Q39" s="35">
        <v>312</v>
      </c>
      <c r="R39" s="86" t="s">
        <v>1</v>
      </c>
      <c r="S39" s="53"/>
      <c r="T39" s="54"/>
      <c r="U39" s="116">
        <v>662.2</v>
      </c>
      <c r="V39" s="116">
        <v>522.4</v>
      </c>
      <c r="W39" s="116">
        <v>983.7</v>
      </c>
      <c r="X39" s="116">
        <v>399.7</v>
      </c>
      <c r="Y39" s="116">
        <v>866.7</v>
      </c>
      <c r="Z39" s="116">
        <v>576</v>
      </c>
      <c r="AA39" s="116">
        <v>594.1</v>
      </c>
      <c r="AB39" s="116">
        <v>569.5</v>
      </c>
      <c r="AC39" s="86" t="s">
        <v>1</v>
      </c>
      <c r="AD39" s="53"/>
      <c r="AE39" s="54"/>
      <c r="AF39" s="116">
        <v>476.9</v>
      </c>
      <c r="AG39" s="116">
        <v>479.4</v>
      </c>
      <c r="AH39" s="116">
        <v>494.1</v>
      </c>
      <c r="AI39" s="116">
        <v>584.5</v>
      </c>
      <c r="AJ39" s="116">
        <v>476.8</v>
      </c>
      <c r="AK39" s="116">
        <v>600.29999999999995</v>
      </c>
      <c r="AL39" s="116">
        <v>457.1</v>
      </c>
      <c r="AM39" s="116">
        <v>591.29999999999995</v>
      </c>
      <c r="AN39" s="116">
        <v>307.60000000000002</v>
      </c>
      <c r="AO39" s="116">
        <v>549.79999999999995</v>
      </c>
      <c r="AP39" s="116">
        <v>551.29999999999995</v>
      </c>
      <c r="AQ39" s="116">
        <v>558</v>
      </c>
      <c r="AR39" s="116">
        <v>389.1</v>
      </c>
      <c r="AS39" s="116">
        <v>171.9</v>
      </c>
      <c r="AT39" s="116">
        <v>191.1</v>
      </c>
      <c r="AU39" s="116">
        <v>182.8</v>
      </c>
      <c r="AV39" s="116">
        <v>489.7</v>
      </c>
      <c r="AW39" s="116">
        <v>343.8</v>
      </c>
      <c r="AX39" s="116">
        <v>333.5</v>
      </c>
      <c r="AY39" s="116">
        <v>809.2</v>
      </c>
      <c r="AZ39" s="109" t="s">
        <v>1</v>
      </c>
      <c r="BA39" s="111"/>
      <c r="BB39" s="121">
        <v>3751.7</v>
      </c>
      <c r="BC39" s="121">
        <v>2943.4</v>
      </c>
      <c r="BD39" s="121">
        <v>2944.4</v>
      </c>
      <c r="BE39" s="131">
        <v>29569</v>
      </c>
      <c r="BF39" s="131">
        <f>BE39*70*80/100</f>
        <v>1655864</v>
      </c>
      <c r="BG39" s="145"/>
    </row>
    <row r="40" spans="1:59" s="2" customFormat="1" ht="25.5" customHeight="1" x14ac:dyDescent="0.2">
      <c r="A40" s="55" t="s">
        <v>54</v>
      </c>
      <c r="B40" s="65"/>
      <c r="C40" s="54"/>
      <c r="D40" s="14">
        <f>D38 /12/D39</f>
        <v>24.564230430958663</v>
      </c>
      <c r="E40" s="14">
        <f t="shared" ref="E40:H40" si="133">E38 /12/E39</f>
        <v>24.390631204345379</v>
      </c>
      <c r="F40" s="14">
        <f t="shared" si="133"/>
        <v>24.664279523293601</v>
      </c>
      <c r="G40" s="14">
        <f t="shared" si="133"/>
        <v>24.472365718134366</v>
      </c>
      <c r="H40" s="14">
        <f t="shared" si="133"/>
        <v>24.752584704743462</v>
      </c>
      <c r="I40" s="55" t="s">
        <v>68</v>
      </c>
      <c r="J40" s="54"/>
      <c r="K40" s="54"/>
      <c r="L40" s="14">
        <f t="shared" ref="L40:M40" si="134">L38/12/L39</f>
        <v>22.924703161141093</v>
      </c>
      <c r="M40" s="14">
        <f t="shared" si="134"/>
        <v>22.703698677203231</v>
      </c>
      <c r="N40" s="14">
        <f t="shared" ref="N40:O40" si="135">N38/12/N39</f>
        <v>22.142542602925651</v>
      </c>
      <c r="O40" s="14">
        <f t="shared" si="135"/>
        <v>22.244060040270917</v>
      </c>
      <c r="P40" s="14">
        <f t="shared" ref="P40:Q40" si="136">P38/12/P39</f>
        <v>21.750392156862745</v>
      </c>
      <c r="Q40" s="14">
        <f t="shared" si="136"/>
        <v>22.983205128205132</v>
      </c>
      <c r="R40" s="55" t="s">
        <v>68</v>
      </c>
      <c r="S40" s="54"/>
      <c r="T40" s="54"/>
      <c r="U40" s="14">
        <f t="shared" ref="U40" si="137">U38/12/U39</f>
        <v>19.024607872747406</v>
      </c>
      <c r="V40" s="14">
        <f t="shared" ref="V40:AB40" si="138">V38 /12/V39</f>
        <v>19.748800408371618</v>
      </c>
      <c r="W40" s="14">
        <f t="shared" si="138"/>
        <v>19.581785435939143</v>
      </c>
      <c r="X40" s="14">
        <f t="shared" ref="X40" si="139">X38 /12/X39</f>
        <v>19.701224251521971</v>
      </c>
      <c r="Y40" s="14">
        <f t="shared" si="138"/>
        <v>19.110375370178069</v>
      </c>
      <c r="Z40" s="14">
        <f t="shared" si="138"/>
        <v>19.521689814814817</v>
      </c>
      <c r="AA40" s="14">
        <f t="shared" si="138"/>
        <v>19.52067048196151</v>
      </c>
      <c r="AB40" s="14">
        <f t="shared" si="138"/>
        <v>19.515817968978634</v>
      </c>
      <c r="AC40" s="55" t="s">
        <v>68</v>
      </c>
      <c r="AD40" s="54"/>
      <c r="AE40" s="54"/>
      <c r="AF40" s="14">
        <f t="shared" ref="AF40" si="140">AF38/12/AF39</f>
        <v>18.556849094848676</v>
      </c>
      <c r="AG40" s="14">
        <f t="shared" ref="AG40:AY40" si="141">AG38/12/AG39</f>
        <v>18.524570991517177</v>
      </c>
      <c r="AH40" s="14">
        <f t="shared" si="141"/>
        <v>18.461642042771366</v>
      </c>
      <c r="AI40" s="14">
        <f t="shared" si="141"/>
        <v>18.436429997148558</v>
      </c>
      <c r="AJ40" s="14">
        <f t="shared" si="141"/>
        <v>18.576940715883666</v>
      </c>
      <c r="AK40" s="14">
        <f t="shared" si="141"/>
        <v>18.427048697873285</v>
      </c>
      <c r="AL40" s="14">
        <f t="shared" si="141"/>
        <v>18.585771895281848</v>
      </c>
      <c r="AM40" s="14">
        <f t="shared" si="141"/>
        <v>18.46233102204183</v>
      </c>
      <c r="AN40" s="14">
        <f t="shared" si="141"/>
        <v>18.377286519289118</v>
      </c>
      <c r="AO40" s="14">
        <f t="shared" si="141"/>
        <v>17.978925669940587</v>
      </c>
      <c r="AP40" s="14">
        <f t="shared" si="141"/>
        <v>17.967894673196685</v>
      </c>
      <c r="AQ40" s="14">
        <f t="shared" si="141"/>
        <v>18.433357228195934</v>
      </c>
      <c r="AR40" s="14">
        <f t="shared" si="141"/>
        <v>18.235423627173823</v>
      </c>
      <c r="AS40" s="14">
        <f t="shared" si="141"/>
        <v>19.951944929222414</v>
      </c>
      <c r="AT40" s="14">
        <f t="shared" si="141"/>
        <v>17.720179661608231</v>
      </c>
      <c r="AU40" s="14">
        <f t="shared" si="141"/>
        <v>19.569679066374906</v>
      </c>
      <c r="AV40" s="14">
        <f t="shared" si="141"/>
        <v>18.435430535702132</v>
      </c>
      <c r="AW40" s="14">
        <f t="shared" si="141"/>
        <v>17.215972464611205</v>
      </c>
      <c r="AX40" s="14">
        <f t="shared" si="141"/>
        <v>18.764687656171915</v>
      </c>
      <c r="AY40" s="14">
        <f t="shared" si="141"/>
        <v>17.227455923545886</v>
      </c>
      <c r="AZ40" s="99" t="s">
        <v>107</v>
      </c>
      <c r="BA40" s="108"/>
      <c r="BB40" s="14">
        <f t="shared" ref="BB40:BC40" si="142">BB38/12/BB39</f>
        <v>23.905303817824805</v>
      </c>
      <c r="BC40" s="14">
        <f t="shared" si="142"/>
        <v>23.007798237865508</v>
      </c>
      <c r="BD40" s="14">
        <f t="shared" ref="BD40" si="143">BD38/12/BD39</f>
        <v>22.737557849929811</v>
      </c>
      <c r="BE40" s="131"/>
      <c r="BF40" s="131"/>
      <c r="BG40" s="145"/>
    </row>
    <row r="41" spans="1:59" s="2" customFormat="1" ht="15.75" customHeight="1" x14ac:dyDescent="0.2">
      <c r="A41" s="18"/>
      <c r="B41" s="22"/>
      <c r="C41" s="22"/>
      <c r="D41" s="19"/>
      <c r="E41" s="7"/>
      <c r="F41" s="7"/>
      <c r="G41" s="7"/>
      <c r="H41" s="7"/>
      <c r="I41" s="22"/>
      <c r="J41" s="22"/>
      <c r="K41" s="22"/>
      <c r="L41" s="7"/>
      <c r="M41" s="7"/>
      <c r="N41" s="7"/>
      <c r="O41" s="7"/>
      <c r="P41" s="7"/>
      <c r="Q41" s="7"/>
      <c r="R41" s="22"/>
      <c r="S41" s="22"/>
      <c r="T41" s="22"/>
      <c r="U41" s="7"/>
      <c r="V41" s="7"/>
      <c r="W41" s="7"/>
      <c r="X41" s="7"/>
      <c r="Y41" s="7"/>
      <c r="Z41" s="7"/>
      <c r="AA41" s="7"/>
      <c r="AB41" s="7"/>
      <c r="AC41" s="1"/>
      <c r="AD41" s="1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112"/>
      <c r="BC41" s="112"/>
      <c r="BD41" s="112"/>
      <c r="BE41" s="145"/>
      <c r="BF41" s="131"/>
      <c r="BG41" s="145"/>
    </row>
    <row r="42" spans="1:59" s="2" customFormat="1" ht="25.5" customHeight="1" x14ac:dyDescent="0.2">
      <c r="A42" s="18"/>
      <c r="B42" s="22"/>
      <c r="C42" s="22"/>
      <c r="D42" s="19"/>
      <c r="E42" s="7"/>
      <c r="F42" s="7"/>
      <c r="G42" s="7"/>
      <c r="H42" s="7"/>
      <c r="I42" s="22"/>
      <c r="J42" s="22"/>
      <c r="K42" s="22"/>
      <c r="L42" s="7"/>
      <c r="M42" s="7"/>
      <c r="N42" s="7"/>
      <c r="O42" s="7"/>
      <c r="P42" s="7"/>
      <c r="Q42" s="7"/>
      <c r="R42" s="22"/>
      <c r="S42" s="22"/>
      <c r="T42" s="22"/>
      <c r="U42" s="7"/>
      <c r="V42" s="7"/>
      <c r="W42" s="7"/>
      <c r="X42" s="7"/>
      <c r="Y42" s="7"/>
      <c r="Z42" s="7"/>
      <c r="AA42" s="7"/>
      <c r="AB42" s="7"/>
      <c r="AC42" s="1"/>
      <c r="AD42" s="1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F42" s="124"/>
    </row>
    <row r="43" spans="1:59" s="1" customFormat="1" ht="12.75" customHeight="1" x14ac:dyDescent="0.2">
      <c r="A43" s="6"/>
      <c r="B43" s="20"/>
      <c r="C43" s="20"/>
      <c r="D43" s="7"/>
      <c r="E43" s="7"/>
      <c r="F43" s="7"/>
      <c r="G43" s="7"/>
      <c r="H43" s="7"/>
      <c r="I43" s="46"/>
      <c r="J43" s="20"/>
      <c r="K43" s="20"/>
      <c r="L43" s="7"/>
      <c r="M43" s="7"/>
      <c r="N43" s="7"/>
      <c r="O43" s="7"/>
      <c r="P43" s="7"/>
      <c r="Q43" s="7"/>
      <c r="R43" s="20"/>
      <c r="S43" s="20"/>
      <c r="T43" s="20"/>
      <c r="U43" s="7"/>
      <c r="V43" s="7"/>
      <c r="W43" s="7"/>
      <c r="X43" s="7"/>
      <c r="Y43" s="7"/>
      <c r="Z43" s="7"/>
      <c r="AA43" s="7"/>
      <c r="AB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F43" s="123"/>
    </row>
    <row r="44" spans="1:59" s="1" customFormat="1" ht="12.75" hidden="1" customHeight="1" x14ac:dyDescent="0.2">
      <c r="A44" s="6"/>
      <c r="B44" s="20"/>
      <c r="C44" s="20"/>
      <c r="D44" s="7"/>
      <c r="E44" s="7"/>
      <c r="F44" s="7"/>
      <c r="G44" s="7"/>
      <c r="H44" s="7"/>
      <c r="I44" s="46"/>
      <c r="J44" s="20"/>
      <c r="K44" s="20"/>
      <c r="L44" s="7"/>
      <c r="M44" s="7"/>
      <c r="N44" s="7"/>
      <c r="O44" s="7"/>
      <c r="P44" s="7"/>
      <c r="Q44" s="7"/>
      <c r="R44" s="20"/>
      <c r="S44" s="20"/>
      <c r="T44" s="20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F44" s="123"/>
    </row>
    <row r="45" spans="1:59" s="1" customFormat="1" x14ac:dyDescent="0.2">
      <c r="A45" s="6"/>
      <c r="B45" s="20"/>
      <c r="C45" s="20"/>
      <c r="D45" s="7"/>
      <c r="E45" s="7"/>
      <c r="F45" s="7"/>
      <c r="G45" s="7"/>
      <c r="H45" s="7"/>
      <c r="I45" s="46"/>
      <c r="J45" s="20"/>
      <c r="K45" s="20"/>
      <c r="L45" s="7"/>
      <c r="M45" s="7"/>
      <c r="N45" s="7"/>
      <c r="O45" s="7"/>
      <c r="P45" s="7"/>
      <c r="Q45" s="7"/>
      <c r="R45" s="20"/>
      <c r="S45" s="20"/>
      <c r="T45" s="20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F45" s="123"/>
    </row>
    <row r="46" spans="1:59" s="1" customFormat="1" x14ac:dyDescent="0.2">
      <c r="A46" s="6"/>
      <c r="B46" s="20"/>
      <c r="C46" s="20"/>
      <c r="D46" s="7"/>
      <c r="E46" s="7"/>
      <c r="F46" s="7"/>
      <c r="G46" s="7"/>
      <c r="H46" s="7"/>
      <c r="I46" s="46"/>
      <c r="J46" s="20"/>
      <c r="K46" s="20"/>
      <c r="L46" s="7"/>
      <c r="M46" s="7"/>
      <c r="N46" s="7"/>
      <c r="O46" s="7"/>
      <c r="P46" s="7"/>
      <c r="Q46" s="7"/>
      <c r="R46" s="20"/>
      <c r="S46" s="20"/>
      <c r="T46" s="20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F46" s="123"/>
    </row>
    <row r="47" spans="1:59" s="1" customFormat="1" x14ac:dyDescent="0.2">
      <c r="A47" s="6" t="s">
        <v>0</v>
      </c>
      <c r="B47" s="20"/>
      <c r="C47" s="20"/>
      <c r="D47" s="7"/>
      <c r="E47" s="7"/>
      <c r="F47" s="7"/>
      <c r="G47" s="7"/>
      <c r="H47" s="7"/>
      <c r="I47" s="46"/>
      <c r="J47" s="20"/>
      <c r="K47" s="20"/>
      <c r="L47" s="7"/>
      <c r="M47" s="7"/>
      <c r="N47" s="7"/>
      <c r="O47" s="7"/>
      <c r="P47" s="7"/>
      <c r="Q47" s="7"/>
      <c r="R47" s="20"/>
      <c r="S47" s="20"/>
      <c r="T47" s="20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F47" s="123"/>
    </row>
    <row r="48" spans="1:59" s="1" customFormat="1" x14ac:dyDescent="0.2">
      <c r="A48" s="6"/>
      <c r="B48" s="20"/>
      <c r="C48" s="20"/>
      <c r="D48" s="7"/>
      <c r="E48" s="7"/>
      <c r="F48" s="7"/>
      <c r="G48" s="7"/>
      <c r="H48" s="7"/>
      <c r="I48" s="46"/>
      <c r="J48" s="20"/>
      <c r="K48" s="20"/>
      <c r="L48" s="7"/>
      <c r="M48" s="7"/>
      <c r="N48" s="7"/>
      <c r="O48" s="7"/>
      <c r="P48" s="7"/>
      <c r="Q48" s="7"/>
      <c r="R48" s="20"/>
      <c r="S48" s="20"/>
      <c r="T48" s="20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F48" s="123"/>
    </row>
  </sheetData>
  <mergeCells count="12">
    <mergeCell ref="A6:A8"/>
    <mergeCell ref="B7:B8"/>
    <mergeCell ref="AZ7:AZ8"/>
    <mergeCell ref="BA7:BA8"/>
    <mergeCell ref="C7:C8"/>
    <mergeCell ref="K7:K8"/>
    <mergeCell ref="S7:S8"/>
    <mergeCell ref="T7:T8"/>
    <mergeCell ref="AC7:AC8"/>
    <mergeCell ref="AD7:AD8"/>
    <mergeCell ref="AE7:AE8"/>
    <mergeCell ref="R7:R8"/>
  </mergeCells>
  <pageMargins left="0.23622047244094491" right="0.11811023622047245" top="0.23622047244094491" bottom="0.19685039370078741" header="0.31496062992125984" footer="0.31496062992125984"/>
  <pageSetup paperSize="9" scale="47" firstPageNumber="0" orientation="landscape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2017-03-20T13:00:20Z</dcterms:modified>
</cp:coreProperties>
</file>